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85" windowWidth="18420" windowHeight="7425" tabRatio="828" activeTab="0"/>
  </bookViews>
  <sheets>
    <sheet name="Summary Sheet" sheetId="1" r:id="rId1"/>
    <sheet name="Benefits" sheetId="2" r:id="rId2"/>
    <sheet name="Costs" sheetId="3" r:id="rId3"/>
    <sheet name="E- &amp; NG Prices" sheetId="4" r:id="rId4"/>
    <sheet name="Capacity Prices" sheetId="5" r:id="rId5"/>
    <sheet name="Program&amp;Measure Details" sheetId="6" r:id="rId6"/>
    <sheet name="Incremental Costs" sheetId="7" r:id="rId7"/>
    <sheet name="Inflation" sheetId="8" r:id="rId8"/>
    <sheet name="Emission Prices" sheetId="9" r:id="rId9"/>
  </sheets>
  <definedNames/>
  <calcPr fullCalcOnLoad="1"/>
</workbook>
</file>

<file path=xl/sharedStrings.xml><?xml version="1.0" encoding="utf-8"?>
<sst xmlns="http://schemas.openxmlformats.org/spreadsheetml/2006/main" count="2689" uniqueCount="814">
  <si>
    <t>ODP 3600 RPM</t>
  </si>
  <si>
    <t>M.ODP3600.75.CI_._.N</t>
  </si>
  <si>
    <t>M.ODP3600.1.5.CI_._.N</t>
  </si>
  <si>
    <t>M.ODP3600.1.CI_._.N</t>
  </si>
  <si>
    <t>M.ODP3600.10.CI_._.N</t>
  </si>
  <si>
    <t>M.ODP3600.100.CI_._.N</t>
  </si>
  <si>
    <t>M.ODP3600.125.CI_._.N</t>
  </si>
  <si>
    <t>M.ODP3600.15.CI_._.N</t>
  </si>
  <si>
    <t>M.ODP3600.150.CI_._.N</t>
  </si>
  <si>
    <t>M.ODP3600.2.CI_._.N</t>
  </si>
  <si>
    <t>M.ODP3600.200.CI_._.N</t>
  </si>
  <si>
    <t>M.ODP3600.25.CI_._.N</t>
  </si>
  <si>
    <t>M.ODP3600.3.CI_._.N</t>
  </si>
  <si>
    <t>M.ODP3600.30.CI_._.N</t>
  </si>
  <si>
    <t>M.ODP3600.40.CI_._.N</t>
  </si>
  <si>
    <t>M.ODP3600.5.CI_._.N</t>
  </si>
  <si>
    <t>M.ODP3600.50.CI_._.N</t>
  </si>
  <si>
    <t>M.ODP3600.60.CI_._.N</t>
  </si>
  <si>
    <t>M.ODP3600.7.5.CI_._.N</t>
  </si>
  <si>
    <t>M.TEFC1200.1.5.CI_._.N</t>
  </si>
  <si>
    <t>Totally Enclosed Fan-Cooled (TEFC) 1200 RPM</t>
  </si>
  <si>
    <t>TEFC 1200 RPM</t>
  </si>
  <si>
    <t>M.TEFC1200.1.CI_._.N</t>
  </si>
  <si>
    <t>M.TEFC1200.10.CI_._.N</t>
  </si>
  <si>
    <t>M.TEFC1200.100.CI_._.N</t>
  </si>
  <si>
    <t>M.TEFC1200.125.CI_._.N</t>
  </si>
  <si>
    <t>M.TEFC1200.15.CI_._.N</t>
  </si>
  <si>
    <t>M.TEFC1200.150.CI_._.N</t>
  </si>
  <si>
    <t>M.TEFC1200.2.CI_._.N</t>
  </si>
  <si>
    <t>M.TEFC1200.200.CI_._.N</t>
  </si>
  <si>
    <t>M.TEFC1200.25.CI_._.N</t>
  </si>
  <si>
    <t>M.TEFC1200.3.CI_._.N</t>
  </si>
  <si>
    <t>M.TEFC1200.30.CI_._.N</t>
  </si>
  <si>
    <t>M.TEFC1200.40.CI_._.N</t>
  </si>
  <si>
    <t>M.TEFC1200.5.CI_._.N</t>
  </si>
  <si>
    <t>M.TEFC1200.50.CI_._.N</t>
  </si>
  <si>
    <t>M.TEFC1200.60.CI_._.N</t>
  </si>
  <si>
    <t>M.TEFC1200.7.5.CI_._.N</t>
  </si>
  <si>
    <t>M.TEFC1200.75.CI_._.N</t>
  </si>
  <si>
    <t>M.TEFC1800.75.CI_._.N</t>
  </si>
  <si>
    <t>TEFC 1800 RPM</t>
  </si>
  <si>
    <t>M.TEFC1800.1.5.CI_._.N</t>
  </si>
  <si>
    <t>M.TEFC1800.1.CI_._.N</t>
  </si>
  <si>
    <t>M.TEFC1800.10.CI_._.N</t>
  </si>
  <si>
    <t>M.TEFC1800.100.CI_._.N</t>
  </si>
  <si>
    <t>M.TEFC1800.125.CI_._.N</t>
  </si>
  <si>
    <t>M.TEFC1800.15.CI_._.N</t>
  </si>
  <si>
    <t>M.TEFC1800.150.CI_._.N</t>
  </si>
  <si>
    <t>M.TEFC1800.2.CI_._.N</t>
  </si>
  <si>
    <t>M.TEFC1800.200.CI_._.N</t>
  </si>
  <si>
    <t>M.TEFC1800.25.CI_._.N</t>
  </si>
  <si>
    <t>M.TEFC1800.3.CI_._.N</t>
  </si>
  <si>
    <t>M.TEFC1800.30.CI_._.N</t>
  </si>
  <si>
    <t>M.TEFC1800.40.CI_._.N</t>
  </si>
  <si>
    <t>M.TEFC1800.5.CI_._.N</t>
  </si>
  <si>
    <t>M.TEFC1800.50.CI_._.N</t>
  </si>
  <si>
    <t>M.TEFC1800.60.CI_._.N</t>
  </si>
  <si>
    <t>M.TEFC1800.7.5.CI_._.N</t>
  </si>
  <si>
    <t>M.TEFC3600.1.5.CI_._.N</t>
  </si>
  <si>
    <t>TEFC 3600 RPM</t>
  </si>
  <si>
    <t>M.TEFC3600.1.CI_._.N</t>
  </si>
  <si>
    <t>M.TEFC3600.10.CI_._.N</t>
  </si>
  <si>
    <t>M.TEFC3600.100.CI_._.N</t>
  </si>
  <si>
    <t>M.TEFC3600.125.CI_._.N</t>
  </si>
  <si>
    <t>M.TEFC3600.15.CI_._.N</t>
  </si>
  <si>
    <t>M.TEFC3600.150.CI_._.N</t>
  </si>
  <si>
    <t>M.TEFC3600.2.CI_._.N</t>
  </si>
  <si>
    <t>M.TEFC3600.200.CI_._.N</t>
  </si>
  <si>
    <t>M.TEFC3600.25.CI_._.N</t>
  </si>
  <si>
    <t>M.TEFC3600.3.CI_._.N</t>
  </si>
  <si>
    <t>M.TEFC3600.30.CI_._.N</t>
  </si>
  <si>
    <t>M.TEFC3600.40.CI_._.N</t>
  </si>
  <si>
    <t>M.TEFC3600.5.CI_._.N</t>
  </si>
  <si>
    <t>M.TEFC3600.50.CI_._.N</t>
  </si>
  <si>
    <t>M.TEFC3600.60.CI_._.N</t>
  </si>
  <si>
    <t>M.TEFC3600.7.5.CI_._.N</t>
  </si>
  <si>
    <t>M.TEFC3600.75.CI_._.N</t>
  </si>
  <si>
    <t>Non-Pulse Start Metal Halide</t>
  </si>
  <si>
    <t>Greater then 1,200 Watts and 91 LPW</t>
  </si>
  <si>
    <t>Occupancy Sensors</t>
  </si>
  <si>
    <t>Hi-Low Switching</t>
  </si>
  <si>
    <t>HID Fixture</t>
  </si>
  <si>
    <t>T8 Fluorescent fixture</t>
  </si>
  <si>
    <t>Packaged Terminal AC or HP</t>
  </si>
  <si>
    <t>0.58 tons</t>
  </si>
  <si>
    <t>&lt;7,000 Btu/h</t>
  </si>
  <si>
    <t>7,000-9,500 Btu/h</t>
  </si>
  <si>
    <t>0.75 tons</t>
  </si>
  <si>
    <t>1.00 tons</t>
  </si>
  <si>
    <t>9,500-15,000 Btu/h</t>
  </si>
  <si>
    <t>&gt;15,000 Btu/h</t>
  </si>
  <si>
    <t>1.25 tons</t>
  </si>
  <si>
    <t>Plate Pre-coolers for Raw Milk</t>
  </si>
  <si>
    <t>&lt;15,000 lbs/day milk</t>
  </si>
  <si>
    <t>&gt;35,000 lbs/day milk</t>
  </si>
  <si>
    <t>15,000-25,000 lbs/day milk</t>
  </si>
  <si>
    <t>25,000-35,000 lbs/day milk</t>
  </si>
  <si>
    <t>Pulse Start Metal Halide Fixtures</t>
  </si>
  <si>
    <t>For Exterior Use</t>
  </si>
  <si>
    <t>100 Watt</t>
  </si>
  <si>
    <t>150 Watt</t>
  </si>
  <si>
    <t>For Interior Use</t>
  </si>
  <si>
    <t>175 watt</t>
  </si>
  <si>
    <t xml:space="preserve">250 watt </t>
  </si>
  <si>
    <t>400 watt</t>
  </si>
  <si>
    <t>Scre-In CFLs</t>
  </si>
  <si>
    <t>Non-residential</t>
  </si>
  <si>
    <t>Scroll Compressors</t>
  </si>
  <si>
    <t>AG</t>
  </si>
  <si>
    <t>Single Demand Controlled Ventilation</t>
  </si>
  <si>
    <t>Thermoelectric Solid State Cooling System</t>
  </si>
  <si>
    <t>Min COP = 4.0</t>
  </si>
  <si>
    <t>1200 watts of heat removal</t>
  </si>
  <si>
    <t>Variable Speed Drive</t>
  </si>
  <si>
    <t>Avg Motor Size = 10 HP</t>
  </si>
  <si>
    <t>installed in HVAC fan applications</t>
  </si>
  <si>
    <t>Avg Motor Size = 32 HP</t>
  </si>
  <si>
    <t>30% HVAC, 70% Other</t>
  </si>
  <si>
    <t>AHU Fan</t>
  </si>
  <si>
    <t>Replace constant speed control</t>
  </si>
  <si>
    <t>Other Applications</t>
  </si>
  <si>
    <t>Pump, Chilled Water</t>
  </si>
  <si>
    <t>Pump, heating</t>
  </si>
  <si>
    <t>Vending maching Occupancy Sensor</t>
  </si>
  <si>
    <t>Water Cooled Chiller</t>
  </si>
  <si>
    <t>Centrifugal 150-299 tons</t>
  </si>
  <si>
    <t>IPLV kW/ton&lt;0.52</t>
  </si>
  <si>
    <t>Centrifugal 300-2,000 tons</t>
  </si>
  <si>
    <t>IPLV kW/ton&lt;0.44</t>
  </si>
  <si>
    <t>IPLV kW/ton&lt;0.49</t>
  </si>
  <si>
    <t>Rotary Screw</t>
  </si>
  <si>
    <t>AC or HP (Tier 2)</t>
  </si>
  <si>
    <t>AC or HP (Tier 1)</t>
  </si>
  <si>
    <t>AC or HP (FEMP)</t>
  </si>
  <si>
    <t>Window Unit Air Conditioners</t>
  </si>
  <si>
    <t>Windows</t>
  </si>
  <si>
    <t>&lt;6,000 Btu/h</t>
  </si>
  <si>
    <t>&gt;20,000 Btu/h</t>
  </si>
  <si>
    <t>14,000-19,999 Btu/h</t>
  </si>
  <si>
    <t>6,000-7,999 Btu/h</t>
  </si>
  <si>
    <t>8,000-13,999 Btu/h</t>
  </si>
  <si>
    <t>High efficiency windows for C/I Applications</t>
  </si>
  <si>
    <t>Heating savings only</t>
  </si>
  <si>
    <t>Inputs</t>
  </si>
  <si>
    <t>Tax Credits</t>
  </si>
  <si>
    <t>Incentives Paid</t>
  </si>
  <si>
    <t>Participant Costs</t>
  </si>
  <si>
    <t>Capital Costs</t>
  </si>
  <si>
    <t>Incremental Costs</t>
  </si>
  <si>
    <t>Administrative Costs</t>
  </si>
  <si>
    <t>Reduced Emissions</t>
  </si>
  <si>
    <t>CO2</t>
  </si>
  <si>
    <t>SO2</t>
  </si>
  <si>
    <t>Hg</t>
  </si>
  <si>
    <t>Direct Utility Costs</t>
  </si>
  <si>
    <t>Program Title:</t>
  </si>
  <si>
    <t>Program Description:</t>
  </si>
  <si>
    <t>NOx</t>
  </si>
  <si>
    <t>Discount Rate</t>
  </si>
  <si>
    <t>Year</t>
  </si>
  <si>
    <t>Avg. Price</t>
  </si>
  <si>
    <t>Residential</t>
  </si>
  <si>
    <t>Commercial</t>
  </si>
  <si>
    <t>Industrial</t>
  </si>
  <si>
    <t>MMBTU Conserved</t>
  </si>
  <si>
    <t>Winter Price</t>
  </si>
  <si>
    <t>Summer Price</t>
  </si>
  <si>
    <t>Summer Allocation Factor</t>
  </si>
  <si>
    <t>Winter Allocation Factor</t>
  </si>
  <si>
    <t>Avoided Power Supply Costs (With Season)</t>
  </si>
  <si>
    <t>Total</t>
  </si>
  <si>
    <t>Present Value</t>
  </si>
  <si>
    <t>Avoided T&amp;D Cost</t>
  </si>
  <si>
    <t>T&amp;D Cost</t>
  </si>
  <si>
    <t>PV</t>
  </si>
  <si>
    <t>Natural Gas Savings</t>
  </si>
  <si>
    <t>KWh Conserved</t>
  </si>
  <si>
    <t>Summer Peak</t>
  </si>
  <si>
    <t>Summer Off-Peak</t>
  </si>
  <si>
    <t>Non-Summer Peak</t>
  </si>
  <si>
    <t>Non-Summer Off-Peak</t>
  </si>
  <si>
    <t>SP Factor</t>
  </si>
  <si>
    <t>SOP Factor</t>
  </si>
  <si>
    <t>NSP Factor</t>
  </si>
  <si>
    <t>NSOP Factor</t>
  </si>
  <si>
    <t>Capital Cost</t>
  </si>
  <si>
    <t>Emission Savings</t>
  </si>
  <si>
    <t>MWh Installed/ Conserved</t>
  </si>
  <si>
    <t>MMBtu Installed/ Conserved</t>
  </si>
  <si>
    <t>MWh Conserved</t>
  </si>
  <si>
    <t>CO2 Savings</t>
  </si>
  <si>
    <t>NOx Savings</t>
  </si>
  <si>
    <t>SO2 Savings</t>
  </si>
  <si>
    <t>Hg Savings</t>
  </si>
  <si>
    <t>Emission Factors</t>
  </si>
  <si>
    <t>Electricity</t>
  </si>
  <si>
    <t>NG</t>
  </si>
  <si>
    <t>Totals</t>
  </si>
  <si>
    <t>Total Resource Cost Test</t>
  </si>
  <si>
    <t>Ratepayer Impact Measure</t>
  </si>
  <si>
    <t>Participant Cost Test</t>
  </si>
  <si>
    <t>Societal Cost Test</t>
  </si>
  <si>
    <t>Fuel Escalations</t>
  </si>
  <si>
    <t>Electricity Season Allocation Factors</t>
  </si>
  <si>
    <t>Natural Gas Season Allocation Factors</t>
  </si>
  <si>
    <t>Summer</t>
  </si>
  <si>
    <t>Winter</t>
  </si>
  <si>
    <t>Bill Reductions</t>
  </si>
  <si>
    <t>Participant Benefits</t>
  </si>
  <si>
    <t>Total Benefits</t>
  </si>
  <si>
    <t>Rev gained</t>
  </si>
  <si>
    <t>Revenue Gain from Increased Sales</t>
  </si>
  <si>
    <t>Revenue Loss from Reduced Sales</t>
  </si>
  <si>
    <t>Utility Revenue Gained</t>
  </si>
  <si>
    <t>Tax Credits/Incentives Paid</t>
  </si>
  <si>
    <t>Tax Credit</t>
  </si>
  <si>
    <t>Combined</t>
  </si>
  <si>
    <t>Incentive Payments</t>
  </si>
  <si>
    <t>Program Administration Cost Test</t>
  </si>
  <si>
    <t>Utility Impact</t>
  </si>
  <si>
    <t>Capacity Benefits</t>
  </si>
  <si>
    <t>Generated</t>
  </si>
  <si>
    <t>Capacity Factor</t>
  </si>
  <si>
    <t>Baseline Input (MMBtu)</t>
  </si>
  <si>
    <t>Efficiency Measure Input (MMBtu)</t>
  </si>
  <si>
    <t>Baseline Generation (kW)</t>
  </si>
  <si>
    <t>Efficiency Measure Generatoin (KW)</t>
  </si>
  <si>
    <t>Outputs</t>
  </si>
  <si>
    <t xml:space="preserve">Avoided Power Supply Costs </t>
  </si>
  <si>
    <t xml:space="preserve">Measure Life:  </t>
  </si>
  <si>
    <t>Protocol</t>
  </si>
  <si>
    <t>Residential Electric HVAC</t>
  </si>
  <si>
    <t>Central A/C and Air Source Heat Pump</t>
  </si>
  <si>
    <t>Measure</t>
  </si>
  <si>
    <t>Variable</t>
  </si>
  <si>
    <t>SEER of Unit</t>
  </si>
  <si>
    <t>Peak Demand Impact</t>
  </si>
  <si>
    <t>EER of Unit</t>
  </si>
  <si>
    <t>Heating Seasonal Performance Factor of Unit</t>
  </si>
  <si>
    <t>Coefficient of Performance</t>
  </si>
  <si>
    <t>Cooling Energy Impact</t>
  </si>
  <si>
    <t>Heating Energy Impact</t>
  </si>
  <si>
    <t>Notes</t>
  </si>
  <si>
    <t>Peak Demand Impact (Both)</t>
  </si>
  <si>
    <t>Groud Source Heat Pump</t>
  </si>
  <si>
    <t>EER of GSHP</t>
  </si>
  <si>
    <t>GSER</t>
  </si>
  <si>
    <t>GSOP</t>
  </si>
  <si>
    <t>Cooling Energy Savings</t>
  </si>
  <si>
    <t>Cooling Capacity of Central A/C or Heat Pump</t>
  </si>
  <si>
    <t>Heating Energy Savings</t>
  </si>
  <si>
    <t>Residential Gas HVAC</t>
  </si>
  <si>
    <t>Space Heaters</t>
  </si>
  <si>
    <t>Gas Savings</t>
  </si>
  <si>
    <t>Output Capacity in BTUs/Hr</t>
  </si>
  <si>
    <t>Annual Fuel Utilization Efficiency</t>
  </si>
  <si>
    <t>Water Heaters</t>
  </si>
  <si>
    <t>Energy Factor</t>
  </si>
  <si>
    <t>Gallons of Capacity</t>
  </si>
  <si>
    <t>Using SBR SEER rating, ESF, EER, DSF, HSPF</t>
  </si>
  <si>
    <t>Using SBR EF and Baseline usage</t>
  </si>
  <si>
    <t>Use SBR baseline heating use</t>
  </si>
  <si>
    <t>SBR reccomended new equation</t>
  </si>
  <si>
    <t>Residential Low Income Program</t>
  </si>
  <si>
    <t>Residential Energy Star Windows</t>
  </si>
  <si>
    <t>Electricity Impact</t>
  </si>
  <si>
    <t>Efficient Lighting</t>
  </si>
  <si>
    <t>Product</t>
  </si>
  <si>
    <t>Compact Fluoresent Screw in Lamp</t>
  </si>
  <si>
    <t>Efficient Fixtures</t>
  </si>
  <si>
    <t>Efficient Torchieres</t>
  </si>
  <si>
    <t>Hot Water Conservation Measures</t>
  </si>
  <si>
    <t>Water Savings</t>
  </si>
  <si>
    <t>Avg. elec. Savings from typical hot water measure package</t>
  </si>
  <si>
    <t>Avg. gas Savings from typical hot water measure package</t>
  </si>
  <si>
    <t>3,640 gal/yr with low flow shower heads, 1,460 gal/yr with aerators</t>
  </si>
  <si>
    <t>Efficient Refrigerators</t>
  </si>
  <si>
    <t>Energy Consumption of Existing Refrigerator</t>
  </si>
  <si>
    <t>Rated Energy consumption of new Refrigerator</t>
  </si>
  <si>
    <t>Refrigerator Demand savings facot</t>
  </si>
  <si>
    <t>Space Heating Measures</t>
  </si>
  <si>
    <t>Air Sealing</t>
  </si>
  <si>
    <t>Pre-treatment electric consumption</t>
  </si>
  <si>
    <t>Pre-treatment gas consumption</t>
  </si>
  <si>
    <t>Duct Sealing and Repair (W/ Central A/C)</t>
  </si>
  <si>
    <t>Pre-treatment electric cooling consumption</t>
  </si>
  <si>
    <t>Duct Sealing and Repair (W/O Central A/C)</t>
  </si>
  <si>
    <t>Insulation Upgrades</t>
  </si>
  <si>
    <t>Thermostat Replacement</t>
  </si>
  <si>
    <t>Heating and Cooling Equipment Maintenance Repair/ Replacement</t>
  </si>
  <si>
    <t>Total Space Heating Savings</t>
  </si>
  <si>
    <t>CFL Blubs</t>
  </si>
  <si>
    <t>Torchieres</t>
  </si>
  <si>
    <t>Recessed Cans</t>
  </si>
  <si>
    <t>Fixtures</t>
  </si>
  <si>
    <t>Same as compact flourescent screw in lamp</t>
  </si>
  <si>
    <t>same as efficient torchieres</t>
  </si>
  <si>
    <t>same as efficient fixtures</t>
  </si>
  <si>
    <t>Residential ENERGY STAR Lighting</t>
  </si>
  <si>
    <t>Residential ENERGY STAR Appliances</t>
  </si>
  <si>
    <t>Refrigerators</t>
  </si>
  <si>
    <t>Demand Impact</t>
  </si>
  <si>
    <t>48 kWh</t>
  </si>
  <si>
    <t>0.0066 kW</t>
  </si>
  <si>
    <t>Clothes Wahsers</t>
  </si>
  <si>
    <t>Gas Impact</t>
  </si>
  <si>
    <t>Oil Impact</t>
  </si>
  <si>
    <t>Water Impact</t>
  </si>
  <si>
    <t>201 kWh</t>
  </si>
  <si>
    <t>10.6 therms</t>
  </si>
  <si>
    <t>1.06 MMBtu</t>
  </si>
  <si>
    <t>4,915 gallons</t>
  </si>
  <si>
    <t>Dishwashers</t>
  </si>
  <si>
    <t>82 kWh</t>
  </si>
  <si>
    <t>159 gal</t>
  </si>
  <si>
    <t>Room Air Conditioners</t>
  </si>
  <si>
    <t>56.4 kWh</t>
  </si>
  <si>
    <t>Commercial and Industrial Energy Efficient Construction</t>
  </si>
  <si>
    <t>Lighting Equipment</t>
  </si>
  <si>
    <t>Baseline Usage</t>
  </si>
  <si>
    <t>Efficient Lighting Usage</t>
  </si>
  <si>
    <t>Coincidence Factor (State Type of Use)</t>
  </si>
  <si>
    <t>ELFH (State Type of Use)</t>
  </si>
  <si>
    <t>Demand Savings</t>
  </si>
  <si>
    <t>Energy Savings</t>
  </si>
  <si>
    <t>Traffic Signals</t>
  </si>
  <si>
    <t>Efficient Signal Usage</t>
  </si>
  <si>
    <t>Baseline and efficient usage are from prescriptive lighting savings table</t>
  </si>
  <si>
    <t>Lighting Controls</t>
  </si>
  <si>
    <t>kW Lighting Load</t>
  </si>
  <si>
    <t>Coincidence factor in lighting verification table</t>
  </si>
  <si>
    <t>ELFH in lighting verification table</t>
  </si>
  <si>
    <t>Motors</t>
  </si>
  <si>
    <t>SBR reccomends changing the equation</t>
  </si>
  <si>
    <t>Changs kW</t>
  </si>
  <si>
    <t>Horse Power</t>
  </si>
  <si>
    <t>Baseline Efficiency</t>
  </si>
  <si>
    <t>Type (C or I)</t>
  </si>
  <si>
    <t>HVAC Systems</t>
  </si>
  <si>
    <t>Cooling Capacity in Btu/Hr</t>
  </si>
  <si>
    <t>Baseline Energy Efficiency</t>
  </si>
  <si>
    <t>Measure Energy Efficiency</t>
  </si>
  <si>
    <t>A/C Demand Savings</t>
  </si>
  <si>
    <t>A/C Energy Savings</t>
  </si>
  <si>
    <t>Heat Pump Cooling Energy Savings</t>
  </si>
  <si>
    <t>Heat Pump Heating Energy Savings</t>
  </si>
  <si>
    <t>Efficiencies from EPACT directory</t>
  </si>
  <si>
    <t>Efficiencies found in baseline table or ARI or AHAM values</t>
  </si>
  <si>
    <t>Electric Chillers</t>
  </si>
  <si>
    <t>Capacity of Chiller in Tons</t>
  </si>
  <si>
    <t>Measure Equipment ratings in kW/ton</t>
  </si>
  <si>
    <t>Baseline Equipment rating in kW/ton</t>
  </si>
  <si>
    <t>Baseline rating depend on chiller size, and is listed in protocols</t>
  </si>
  <si>
    <t>Variable Frequency Drives</t>
  </si>
  <si>
    <t>Motor HP</t>
  </si>
  <si>
    <t>Type (Air Handler or Chilled Water Pumps)</t>
  </si>
  <si>
    <t>Commercial and Industrial Construction Gas Protocols</t>
  </si>
  <si>
    <t>Gas Chillers</t>
  </si>
  <si>
    <t>Look at SBR recs</t>
  </si>
  <si>
    <t>Winter Gas Savings</t>
  </si>
  <si>
    <t>Electric Demand Savings</t>
  </si>
  <si>
    <t>Electic Energy Savings</t>
  </si>
  <si>
    <t>Summer Gas Usage</t>
  </si>
  <si>
    <t>Net Energy Usage</t>
  </si>
  <si>
    <t>Vacuum Boiler Efficiency</t>
  </si>
  <si>
    <t>Input Rating in Therms/hr</t>
  </si>
  <si>
    <t>Capacity of Chiller in tons</t>
  </si>
  <si>
    <t>Cooling Capacity of Chiller in MMBtu</t>
  </si>
  <si>
    <t>Parasitic electrical requirement in kW/Ton</t>
  </si>
  <si>
    <t>Efficiency</t>
  </si>
  <si>
    <t>Baseline Efficiency in Protocols (depends on capacity)</t>
  </si>
  <si>
    <t>Gas Booster Water Heaters</t>
  </si>
  <si>
    <t>SBR states to lower CF rating, no specfic # stated</t>
  </si>
  <si>
    <t>Gas Usage Increase</t>
  </si>
  <si>
    <t>Net Energy Savings</t>
  </si>
  <si>
    <t>Input Rating in Btuh</t>
  </si>
  <si>
    <t>Furnaces and Boilers</t>
  </si>
  <si>
    <t>Annual Fuel Utilization Efficiency of Measure</t>
  </si>
  <si>
    <t>Capacity of Furnace or Boiler</t>
  </si>
  <si>
    <t>Type (Furnace or Boiler)</t>
  </si>
  <si>
    <t>Commercial and Industrial Building Operation and Maintenance Program</t>
  </si>
  <si>
    <t>Electric Savings</t>
  </si>
  <si>
    <t>Peak demand Impact</t>
  </si>
  <si>
    <t>Participant previous years Electricity use</t>
  </si>
  <si>
    <t>Participant previous years Gas use</t>
  </si>
  <si>
    <t>Customer-Sited Generation</t>
  </si>
  <si>
    <t>Photovoltaic Systems</t>
  </si>
  <si>
    <t>SBR reccomends changing the electric savings equation</t>
  </si>
  <si>
    <t>Summer Peak Impact</t>
  </si>
  <si>
    <t>Winter Peak Impact</t>
  </si>
  <si>
    <t>System Rated Output</t>
  </si>
  <si>
    <t>Fixed, Single, Double Axis tracking</t>
  </si>
  <si>
    <t>Array Tilt</t>
  </si>
  <si>
    <t>Azimuth angle</t>
  </si>
  <si>
    <t>Weather Data</t>
  </si>
  <si>
    <t>SBR hasn't finished recs for these yet</t>
  </si>
  <si>
    <t>Annual Energy Production</t>
  </si>
  <si>
    <t>Calculated by PVWATTS as a function of System rated output, Tracking, Angle, array azimuth, and weather data</t>
  </si>
  <si>
    <t>Wind Systems</t>
  </si>
  <si>
    <t>Total Annual Energy</t>
  </si>
  <si>
    <t>Annual Energy Output</t>
  </si>
  <si>
    <t>A function of average wind speed, rotor diameter, total system efficiency</t>
  </si>
  <si>
    <t>No equation to calculate</t>
  </si>
  <si>
    <t>No supporting data to identify wind in NJ</t>
  </si>
  <si>
    <t>Fuel Cells</t>
  </si>
  <si>
    <t>Average Electric Output</t>
  </si>
  <si>
    <t>Average Thermal Energy Recovered</t>
  </si>
  <si>
    <t>Sustainable Biomass</t>
  </si>
  <si>
    <t>Based on case specific engineering estimates and manufacturer data</t>
  </si>
  <si>
    <t>Component</t>
  </si>
  <si>
    <t>Summer On-Peak</t>
  </si>
  <si>
    <t>Winter On-Peak</t>
  </si>
  <si>
    <t>Winter Off-Peak</t>
  </si>
  <si>
    <t>Central Air Conditioner</t>
  </si>
  <si>
    <t>Cooling</t>
  </si>
  <si>
    <t>Air Source Heat Pump</t>
  </si>
  <si>
    <t>Heating</t>
  </si>
  <si>
    <t>Desuperheater Time</t>
  </si>
  <si>
    <t>Electric</t>
  </si>
  <si>
    <t>Gas</t>
  </si>
  <si>
    <t>Heat Pump</t>
  </si>
  <si>
    <t>Electric Heat W/ Central Air Conditioning</t>
  </si>
  <si>
    <t>Electric Heat W/O Central Air Conditioning</t>
  </si>
  <si>
    <t>Gas Heat W/ Central Air Conditioning</t>
  </si>
  <si>
    <t>Gas Heat W/O Central Air Conditioning</t>
  </si>
  <si>
    <t>Oil Heat W/ Centrail Air Conditioning</t>
  </si>
  <si>
    <t>Oil Heat W/O Centrail Air Conditioning</t>
  </si>
  <si>
    <t>Each Measrue represents the savings of using ENERGY STAR windows combined with one of the heating systems</t>
  </si>
  <si>
    <t>***Time period allocation factors fixed, see attached***</t>
  </si>
  <si>
    <t>Residential New Construction Program</t>
  </si>
  <si>
    <t>Insulation up-grades, efficient windows, air sealing, eficient HVAC equipment, and duct sealing</t>
  </si>
  <si>
    <t>Peak Demand of Baseline Home</t>
  </si>
  <si>
    <t>Peak Demand of qualifying Home</t>
  </si>
  <si>
    <t>Predicted Load of baseline home in BtuH</t>
  </si>
  <si>
    <t>Predicted Load of program qualifying home in BtuH</t>
  </si>
  <si>
    <t>EER of HVAC system in qualifying home</t>
  </si>
  <si>
    <t>Use SBR updated SEER</t>
  </si>
  <si>
    <t>Clothes Washer</t>
  </si>
  <si>
    <t>Dish Washers</t>
  </si>
  <si>
    <t>Baseline and Efficient lighting usage are based on standard wattage tables *** see protocols***</t>
  </si>
  <si>
    <t>Needs more research</t>
  </si>
  <si>
    <t>Protocol Equations</t>
  </si>
  <si>
    <t>Time Period Allocation Factors</t>
  </si>
  <si>
    <t>Natural Gas</t>
  </si>
  <si>
    <t>Gas Heat W/ CAC</t>
  </si>
  <si>
    <t>Gas Heat W/O CAC</t>
  </si>
  <si>
    <t>Oil Heat W/ CAC</t>
  </si>
  <si>
    <t>Oil Heat W/O CAC</t>
  </si>
  <si>
    <t>Electric Heat W/ CAC</t>
  </si>
  <si>
    <t>Electric Heat W/o CAC</t>
  </si>
  <si>
    <t>Hot Water Conservation</t>
  </si>
  <si>
    <t>Space heating Measures (All)</t>
  </si>
  <si>
    <t>Gas Heating Savings</t>
  </si>
  <si>
    <t>Gas Cooling Savings</t>
  </si>
  <si>
    <t>Regrigerators</t>
  </si>
  <si>
    <t>Variable Frequence Drives</t>
  </si>
  <si>
    <t>Measure Life</t>
  </si>
  <si>
    <t>Dish Washer</t>
  </si>
  <si>
    <t>Room A/C</t>
  </si>
  <si>
    <t>Residential ENERGY STAR Windows</t>
  </si>
  <si>
    <t>Residential New Construction</t>
  </si>
  <si>
    <t>Air Seeling</t>
  </si>
  <si>
    <t>Duct Sealing W/ CAC</t>
  </si>
  <si>
    <t>Duct Sealing W/O CAC</t>
  </si>
  <si>
    <t>Compact Fluorsent Screw-In Lamp</t>
  </si>
  <si>
    <t>Heating and Cooling Equipment Repairs</t>
  </si>
  <si>
    <t>Space Heating</t>
  </si>
  <si>
    <t>C &amp; I Energy Efficiency Construction</t>
  </si>
  <si>
    <t>Commercial Lighting</t>
  </si>
  <si>
    <t>Industrial Lighting</t>
  </si>
  <si>
    <t>Commercial Unitray HVAC (all tiers)</t>
  </si>
  <si>
    <t>Commercial motors (all sizes)</t>
  </si>
  <si>
    <t>Industrial Motors (all sizes)</t>
  </si>
  <si>
    <t>Industrial Unitray HVAC (all tiers)</t>
  </si>
  <si>
    <t>Commercial Chillers</t>
  </si>
  <si>
    <t>Industrial Chillers</t>
  </si>
  <si>
    <t>Commercial VFD</t>
  </si>
  <si>
    <t>Industrial VFD</t>
  </si>
  <si>
    <t>C &amp; I Construction Gas Protocols</t>
  </si>
  <si>
    <t>Commercial Gas Chiller</t>
  </si>
  <si>
    <t>Industrial Gas Chiller</t>
  </si>
  <si>
    <t>C&amp;I Gas absorption chiller</t>
  </si>
  <si>
    <t>Commercial Gas Furnace</t>
  </si>
  <si>
    <t>Commercial Gas Boiler</t>
  </si>
  <si>
    <t>C &amp; I Building Operation and Maintenance</t>
  </si>
  <si>
    <t>C&amp;I Building O&amp;M</t>
  </si>
  <si>
    <t>Photovoltaic System</t>
  </si>
  <si>
    <t>Wind System</t>
  </si>
  <si>
    <t>Program</t>
  </si>
  <si>
    <t>Technology</t>
  </si>
  <si>
    <t>Technology Description</t>
  </si>
  <si>
    <t>Avg. Incremental Cost</t>
  </si>
  <si>
    <t>Residential Gas and Electric HVAC</t>
  </si>
  <si>
    <t>14 SEER</t>
  </si>
  <si>
    <t>Furnace</t>
  </si>
  <si>
    <t>Boiler</t>
  </si>
  <si>
    <t>Water Heater</t>
  </si>
  <si>
    <t>Furnace with ECM</t>
  </si>
  <si>
    <t>15 SEER</t>
  </si>
  <si>
    <t>≥ 90% AFUE</t>
  </si>
  <si>
    <t>≥ 85% AFUE</t>
  </si>
  <si>
    <t>≥ 0.62 Energy Factor</t>
  </si>
  <si>
    <t>High Efficiency CAC</t>
  </si>
  <si>
    <t>13 SEER</t>
  </si>
  <si>
    <t>Avg. Cost</t>
  </si>
  <si>
    <t>-</t>
  </si>
  <si>
    <t>ENERGY STAR Homes</t>
  </si>
  <si>
    <t>New Homes</t>
  </si>
  <si>
    <t>2,500 Square Foot home</t>
  </si>
  <si>
    <t>ENERGY STAR Products</t>
  </si>
  <si>
    <t>Clothes Washers</t>
  </si>
  <si>
    <t>Light Bulbs</t>
  </si>
  <si>
    <t>Overall Refrigerators</t>
  </si>
  <si>
    <t>Refrigerators 17-22 cu ft.</t>
  </si>
  <si>
    <t>C&amp;I Construction</t>
  </si>
  <si>
    <t>Differential Enthalpy Economizer Control System</t>
  </si>
  <si>
    <t>Energy Star Roofing</t>
  </si>
  <si>
    <t>Water-Source Unitary or Split System HVAC</t>
  </si>
  <si>
    <t>Air Cooled Chiller</t>
  </si>
  <si>
    <t>IPLV kW/ton &lt;0.98</t>
  </si>
  <si>
    <t>Recip 30 - 150 tons</t>
  </si>
  <si>
    <t>Screw 70 -  200 tons</t>
  </si>
  <si>
    <t>IPLV kW/ton &lt;0.86</t>
  </si>
  <si>
    <t>Scroll 30 - 60 tons</t>
  </si>
  <si>
    <t>IPLV kW/ton &lt;0.90</t>
  </si>
  <si>
    <t>&lt;5.4 tons</t>
  </si>
  <si>
    <t>Tier 1 AC or HP</t>
  </si>
  <si>
    <t>Tier 2 AC or HP</t>
  </si>
  <si>
    <t>&gt;11.25 to 20 tons</t>
  </si>
  <si>
    <t>Air Source HVAC Unitary or Split</t>
  </si>
  <si>
    <t>&gt;5.4 to 11.25 tons</t>
  </si>
  <si>
    <t>Air Source Unitary HVAC</t>
  </si>
  <si>
    <t>&gt; 75 tons</t>
  </si>
  <si>
    <t>20-40 tons</t>
  </si>
  <si>
    <t>41-75 tons</t>
  </si>
  <si>
    <t>Comb Eff.≥84% Therm Eff.≥80%</t>
  </si>
  <si>
    <t>Comb Eff.≥84% Therm Eff.≥83%</t>
  </si>
  <si>
    <t>Comb Eff.≥84% Therm Eff.≥79%</t>
  </si>
  <si>
    <t>&gt;300,000 Btuh (hot water, fired by oil)</t>
  </si>
  <si>
    <t>&gt;300,000 Btuh (hot water, fired by NG)</t>
  </si>
  <si>
    <t>&gt;300,000 Btuh (steam, fired by NG)</t>
  </si>
  <si>
    <t>&gt;300,000 Btuh (steam, fired by oil)</t>
  </si>
  <si>
    <t>CFL</t>
  </si>
  <si>
    <t>24-hour Common Aras</t>
  </si>
  <si>
    <t>Hardwired (13 Watt)</t>
  </si>
  <si>
    <t>non-residential</t>
  </si>
  <si>
    <t>Hardwired (18 Watt)</t>
  </si>
  <si>
    <t>Hardwired (2x13 Watt)</t>
  </si>
  <si>
    <t>Hardwired (2x26 Watt)</t>
  </si>
  <si>
    <t>Hardwired (26 Watt)</t>
  </si>
  <si>
    <t>Hardwired (28 Watt)</t>
  </si>
  <si>
    <t>Hospitality Lighting</t>
  </si>
  <si>
    <t>Guest Rooms</t>
  </si>
  <si>
    <t>Chiller Replacement</t>
  </si>
  <si>
    <t>300 tons</t>
  </si>
  <si>
    <t>0.65 kW/ton</t>
  </si>
  <si>
    <t>Commercial Clothes washer</t>
  </si>
  <si>
    <t>High Efficiency</t>
  </si>
  <si>
    <t>CEE Tier 2, MEF=1.42</t>
  </si>
  <si>
    <t>CEE Tier 2, MEF=1.60</t>
  </si>
  <si>
    <t>Commercial Packaged Refrigeration Equipment</t>
  </si>
  <si>
    <t>Commercial Ice-maker</t>
  </si>
  <si>
    <t>Teir 1</t>
  </si>
  <si>
    <t>Liquid Refrigeratnt Pressure Amplifier</t>
  </si>
  <si>
    <t>&gt;200 tons</t>
  </si>
  <si>
    <t>100 to 200 tons</t>
  </si>
  <si>
    <t>20 to 50 tons</t>
  </si>
  <si>
    <t>50 to 100 tons</t>
  </si>
  <si>
    <t>Reach-in freezer</t>
  </si>
  <si>
    <t>One-door unit, &lt;35 cu. Ft, Tier 1</t>
  </si>
  <si>
    <t>One-door unit, &lt;35 cu. Ft, Tier 2</t>
  </si>
  <si>
    <t>Two-door unit, 35-60 cu. Ft, Tier 1</t>
  </si>
  <si>
    <t>Two-door unit, 35-60 cu. Ft, Tier 2</t>
  </si>
  <si>
    <t>Reach-in Refrigerator</t>
  </si>
  <si>
    <t>Three-door unit, &gt;60 cu. Ft, Tier 1</t>
  </si>
  <si>
    <t>Three-door unit, &gt;60 cu. Ft, Tier 2</t>
  </si>
  <si>
    <t>Daylight Controlled</t>
  </si>
  <si>
    <t>HID-Continuous or Stepped Dimming</t>
  </si>
  <si>
    <t>T8 fluroscent fixtures, 2 fixtures</t>
  </si>
  <si>
    <t>4ft-4 lamp, continuous or stepped dimming</t>
  </si>
  <si>
    <t>T8 fluroscent fixtures, 4 fixtures</t>
  </si>
  <si>
    <t>DB Economizers</t>
  </si>
  <si>
    <t>Outdoor air differential dry bulb</t>
  </si>
  <si>
    <t>Differential Demand Controlled Ventillation</t>
  </si>
  <si>
    <t>Efficient Transformer</t>
  </si>
  <si>
    <t>98.2% Eff</t>
  </si>
  <si>
    <t>97% Eff</t>
  </si>
  <si>
    <t>98.3% Eff</t>
  </si>
  <si>
    <t>98.5% Eff</t>
  </si>
  <si>
    <t>97.5% Eff</t>
  </si>
  <si>
    <t>45 kVA</t>
  </si>
  <si>
    <t>112.5 kVA</t>
  </si>
  <si>
    <t>15 Kva</t>
  </si>
  <si>
    <t>150 Kva</t>
  </si>
  <si>
    <t>225 or Greater Kva</t>
  </si>
  <si>
    <t>30 Kva</t>
  </si>
  <si>
    <t>97.7% Eff</t>
  </si>
  <si>
    <t>75 kVA</t>
  </si>
  <si>
    <t>98% Eff</t>
  </si>
  <si>
    <t>Energy Management System</t>
  </si>
  <si>
    <t>Control of HVAC and lighting loads</t>
  </si>
  <si>
    <t>Fluorescent Fixture</t>
  </si>
  <si>
    <t>Manufacturer intergrated occupancy sensor</t>
  </si>
  <si>
    <t>on/off control</t>
  </si>
  <si>
    <t>4ft - 1lamp T5</t>
  </si>
  <si>
    <t>4ft - 1 lamp T8</t>
  </si>
  <si>
    <t>High Performance</t>
  </si>
  <si>
    <t>4ft - 2 lamp T8</t>
  </si>
  <si>
    <t>4ft - 2 lamp T5</t>
  </si>
  <si>
    <t>4ft - 3 lamp T5</t>
  </si>
  <si>
    <t>4ft - 3 lamp T8</t>
  </si>
  <si>
    <t>W/ reduced light output</t>
  </si>
  <si>
    <t>4ft - 4 lamp T5</t>
  </si>
  <si>
    <t>4ft - 4 lamp T8</t>
  </si>
  <si>
    <t>8 ft - 1 lamp T8</t>
  </si>
  <si>
    <t>8 ft - 2 lamp T8</t>
  </si>
  <si>
    <t>8 ft - 3 lamp T8</t>
  </si>
  <si>
    <t>8 ft - 4 lamp T8</t>
  </si>
  <si>
    <t>Fluorescent Timer</t>
  </si>
  <si>
    <t>Non HID lighting timer control</t>
  </si>
  <si>
    <t>EER 14.5 and COP</t>
  </si>
  <si>
    <t>Ground Source Heat Pump</t>
  </si>
  <si>
    <t>C/I Application</t>
  </si>
  <si>
    <t>EER 15.0 and COP 3.4</t>
  </si>
  <si>
    <t>Commercial Unit</t>
  </si>
  <si>
    <t>Storage tank of 50 to 120 gallons</t>
  </si>
  <si>
    <t>Heat Pump Water Heater</t>
  </si>
  <si>
    <t>High Bay Fluorescent Lighting</t>
  </si>
  <si>
    <t>T5HO</t>
  </si>
  <si>
    <t>T8HO</t>
  </si>
  <si>
    <t>EF &gt; 0.61</t>
  </si>
  <si>
    <t>High Efficiency Gas Water Heater</t>
  </si>
  <si>
    <t>High Efficiency low glare recessed or sufrace mounted fluorescent fixture</t>
  </si>
  <si>
    <t>4 ft - 1 lamp T8</t>
  </si>
  <si>
    <t>4 ft - 2 lamp T8</t>
  </si>
  <si>
    <t>4 ft - 2 lamp T8 Tandem Wired</t>
  </si>
  <si>
    <t>4 ft - 3 lamp T5</t>
  </si>
  <si>
    <t>4 ft - 3 lamp T8</t>
  </si>
  <si>
    <t>High Efficiency Oil Burner</t>
  </si>
  <si>
    <t>DC brushless comb air blowre</t>
  </si>
  <si>
    <t>Piston-type fuel pump</t>
  </si>
  <si>
    <t>High Efficiency Pendant or Wall-mounted indirect fluorescent fixture</t>
  </si>
  <si>
    <t>4ft 1 lamp T5</t>
  </si>
  <si>
    <t>High Output</t>
  </si>
  <si>
    <t>4ft 1 lamp T8</t>
  </si>
  <si>
    <t>4 ft 2 lamp T5</t>
  </si>
  <si>
    <t>4 ft 2 lamp T8</t>
  </si>
  <si>
    <t>4 ft 3 lamp T8</t>
  </si>
  <si>
    <t>High efficiency recessed or surface mounted fluorescent fixtures</t>
  </si>
  <si>
    <t>4 ft 1 lamp T8</t>
  </si>
  <si>
    <t>4 ft 2 lamp T8 Tandem Wired</t>
  </si>
  <si>
    <t>4 ft 3 lamp T5</t>
  </si>
  <si>
    <t>High Pressure sodium fixtures</t>
  </si>
  <si>
    <t>Exterior Lighting</t>
  </si>
  <si>
    <t>Integrated Fluorescent Occupance controlled Hi-Low Switiching</t>
  </si>
  <si>
    <t>LED Exit Signs</t>
  </si>
  <si>
    <t>Baseline=CFLs</t>
  </si>
  <si>
    <t>Energy Star (all sizes)</t>
  </si>
  <si>
    <t>Baseline=Incadescent</t>
  </si>
  <si>
    <t>Baseline CFLs</t>
  </si>
  <si>
    <t>Energy Star &lt;3 Watt LED</t>
  </si>
  <si>
    <t>Energy Star 7-8 watt LED</t>
  </si>
  <si>
    <t>LED Traffic Signals</t>
  </si>
  <si>
    <t>Complete Unit replacement</t>
  </si>
  <si>
    <t>Green Arrow replacement</t>
  </si>
  <si>
    <t>Green Ball replacement</t>
  </si>
  <si>
    <t>Red Arrow replacement</t>
  </si>
  <si>
    <t>Red Ball replacement Kit</t>
  </si>
  <si>
    <t>Yellow Arrow Replacement</t>
  </si>
  <si>
    <t>Yellow Ball Replacement</t>
  </si>
  <si>
    <t>M.ODP1200.1.5.CL_._.N</t>
  </si>
  <si>
    <t>M.ODP1200.1.CI_._.N</t>
  </si>
  <si>
    <t>M.ODP1200.10.CI_._.N</t>
  </si>
  <si>
    <t>M.ODP1200.100.CI_._.N</t>
  </si>
  <si>
    <t>M.ODP1200.125.CI_._.N</t>
  </si>
  <si>
    <t>M.ODP1200.15.CI_._.N</t>
  </si>
  <si>
    <t>M.ODP1200.150.CI_._.N</t>
  </si>
  <si>
    <t>M.ODP1200.2.CI_._.N</t>
  </si>
  <si>
    <t>M.ODP1200.200.CI_._.N</t>
  </si>
  <si>
    <t>M.ODP1200.25.CI_._.N</t>
  </si>
  <si>
    <t>M.ODP1200.3.CI_._.N</t>
  </si>
  <si>
    <t>M.ODP1200.30.CI_._.N</t>
  </si>
  <si>
    <t>M.ODP1200.40.CI_._.N</t>
  </si>
  <si>
    <t>M.ODP1200.5.CI_._.N</t>
  </si>
  <si>
    <t>M.ODP1200.50.CI_._.N</t>
  </si>
  <si>
    <t>M.ODP1200.60.CI_._.N</t>
  </si>
  <si>
    <t>M.ODP1200.7.5.CI_._.N</t>
  </si>
  <si>
    <t>M.ODP1200.75.CI_._.N</t>
  </si>
  <si>
    <t>M.ODP1800.1.5.CI_._.N</t>
  </si>
  <si>
    <t>Open-Drip-Proof (ODP) 1200 RPM</t>
  </si>
  <si>
    <t>ODP 1200 RPM</t>
  </si>
  <si>
    <t>ODP 1800 RPM</t>
  </si>
  <si>
    <t>M.ODP1800.1.CI_._.N</t>
  </si>
  <si>
    <t>M.ODP1800.10.CI_._.N</t>
  </si>
  <si>
    <t>M.ODP1800.100.CI_._.N</t>
  </si>
  <si>
    <t>M.ODP1800.125.CI_._.N</t>
  </si>
  <si>
    <t>M.ODP1800.15.CI_._.N</t>
  </si>
  <si>
    <t>M.ODP1800.150.CI_._.N</t>
  </si>
  <si>
    <t>M.ODP1800.2.CI_._.N</t>
  </si>
  <si>
    <t>M.ODP1800.200.CI_._.N</t>
  </si>
  <si>
    <t>M.ODP1800.25.CI_._.N</t>
  </si>
  <si>
    <t>M.ODP1800.3.CI_._.N</t>
  </si>
  <si>
    <t>M.ODP1800.30.CI_._.N</t>
  </si>
  <si>
    <t>M.ODP1800.40.CI_._.N</t>
  </si>
  <si>
    <t>M.ODP1800.5.CI_._.N</t>
  </si>
  <si>
    <t>M.ODP1800.50.CI_._.N</t>
  </si>
  <si>
    <t>M.ODP1800.60.CI_._.N</t>
  </si>
  <si>
    <t>M.ODP1800.7.5.CI_._.N</t>
  </si>
  <si>
    <t>M.ODP1800.75.CI_._.N</t>
  </si>
  <si>
    <t>Capital Incremental Costs</t>
  </si>
  <si>
    <t>Yearly Incremental Costs</t>
  </si>
  <si>
    <t>Yearly Costs</t>
  </si>
  <si>
    <t>Peak Coincidence Factor</t>
  </si>
  <si>
    <t>Other Program Costs</t>
  </si>
  <si>
    <t>Benefits-Cost Ratio</t>
  </si>
  <si>
    <t>Avoided Power Supply Costs Per Measure</t>
  </si>
  <si>
    <t>Participant Benefits Per Measure</t>
  </si>
  <si>
    <t>Participant Costs Per Measure</t>
  </si>
  <si>
    <t>Other Program Costs Per Measure</t>
  </si>
  <si>
    <t>Capacity Price</t>
  </si>
  <si>
    <t>Notes:</t>
  </si>
  <si>
    <t>Participant Cost Test = Participant Benefits - Participant Costs</t>
  </si>
  <si>
    <t>Program Administration Cost Test = (Avoided Power Supply Costs + Capacity Benefits) - (Incentive Payments + Other Program Costs)</t>
  </si>
  <si>
    <t>Ratepayer Impact Measure = (Avoided Power Supply Costs + Capacity Benefits + Utility Revenue Gained) - (Direct Utility Costs + Incentive Payments + Other Program Costs)</t>
  </si>
  <si>
    <t>Baseline Usage (MWh)</t>
  </si>
  <si>
    <t>Efficiency Measure Usage (MWh)</t>
  </si>
  <si>
    <t>Electricity Savings (Per Unit)</t>
  </si>
  <si>
    <t>Natural Gas Savings (Per Unit)</t>
  </si>
  <si>
    <t>Tax Credits (Per Unit)</t>
  </si>
  <si>
    <t>Incentives Paid (Per Unit)</t>
  </si>
  <si>
    <t>Participant Costs (Per Unit)</t>
  </si>
  <si>
    <t>Residentail Retail Rates</t>
  </si>
  <si>
    <t>Total MWh Saved by Program</t>
  </si>
  <si>
    <t>Total Natural Gas Savings Program (MMBtu)</t>
  </si>
  <si>
    <t>Total Incentives Paid</t>
  </si>
  <si>
    <t xml:space="preserve">Electricity Bill Reductions in First Year (Per Unit) </t>
  </si>
  <si>
    <t xml:space="preserve">Natural Gas Bill Reduction in First Year (Per Unit) </t>
  </si>
  <si>
    <t>Electricity Participant Benefits</t>
  </si>
  <si>
    <t>Wholesale Electricity Savings</t>
  </si>
  <si>
    <t>Reduced Emissions (Lbs)</t>
  </si>
  <si>
    <t>Emission Savings (Real $)</t>
  </si>
  <si>
    <t>Hg (Lbs)</t>
  </si>
  <si>
    <t>Avoided Electricity T&amp;D Costs</t>
  </si>
  <si>
    <t>CPI</t>
  </si>
  <si>
    <t>Electricty Transmission and Distribution Costs</t>
  </si>
  <si>
    <t>Natural Gas Disbribution Costs</t>
  </si>
  <si>
    <t>Electric and Natural Gas Avoided T&amp;D Costs</t>
  </si>
  <si>
    <t>Avoided Natural Gas Distribution Costs</t>
  </si>
  <si>
    <t>Avoided D Cost</t>
  </si>
  <si>
    <t>Dist. Cost</t>
  </si>
  <si>
    <t>$/MWh</t>
  </si>
  <si>
    <t>$/kW*Yr</t>
  </si>
  <si>
    <t>Peak Electricity Capacity Benefits</t>
  </si>
  <si>
    <t>Capacity Price ($/kW*yr)</t>
  </si>
  <si>
    <t>Peak Reduction</t>
  </si>
  <si>
    <t>Avoided Peak Cost</t>
  </si>
  <si>
    <t>Peak Load Reduction (kW Per Unit)</t>
  </si>
  <si>
    <t>Wholesale Prices</t>
  </si>
  <si>
    <t>Dayzer Wholesale Electricity Price</t>
  </si>
  <si>
    <t>Total Resource Cost Test = (Avoided Power Supply Costs + Capacity Benefits + Avoided T&amp;D Costs + Tax Credits) + (Participant Costs + Other Program Costs)</t>
  </si>
  <si>
    <t>Societal Cost Test = (Avoided Power Supply Costs + Capacity Benefits + Avoided T&amp;D Costs + Tax Credits + Emission Savings) - (Participant Costs + Other Program Costs)</t>
  </si>
  <si>
    <t>Rate w/ Tax</t>
  </si>
  <si>
    <t>Retail Electricity Prices</t>
  </si>
  <si>
    <t>Retail NG Prices</t>
  </si>
  <si>
    <t>Price ($/MW-yr)</t>
  </si>
  <si>
    <t>RECON Retail Residentail Electricity Price</t>
  </si>
  <si>
    <t>($/KWh)</t>
  </si>
  <si>
    <t>(Cents/KWh)</t>
  </si>
  <si>
    <t>R/ECON % Change</t>
  </si>
  <si>
    <t>Average Change</t>
  </si>
  <si>
    <t>Other Program Costs = Administration &amp; Program Development; Sales, Call Centers, Marketing, &amp; Website; Training; and Rebate Processing, Inspection, and Other Quality Control</t>
  </si>
  <si>
    <t>BAU</t>
  </si>
  <si>
    <t>Case 4**</t>
  </si>
  <si>
    <t>Case 5**</t>
  </si>
  <si>
    <t>** Case 4 and Case 5 need to be linked up with fuel costs as necessary</t>
  </si>
  <si>
    <t>R/ECON Retail NG Price w/ Tax</t>
  </si>
  <si>
    <t>Wholesale NG Prices</t>
  </si>
  <si>
    <t>$/MMBtu</t>
  </si>
  <si>
    <t>Tier I</t>
  </si>
  <si>
    <t>Audit w/customer educ</t>
  </si>
  <si>
    <t>CFL's</t>
  </si>
  <si>
    <t>Programmable T-stat installation</t>
  </si>
  <si>
    <t>Tier II</t>
  </si>
  <si>
    <t>Pre/Post Blower door</t>
  </si>
  <si>
    <t>Caulking and weather-stripping</t>
  </si>
  <si>
    <t>Duct Sealing and insulation</t>
  </si>
  <si>
    <t>Tier III</t>
  </si>
  <si>
    <t>Attic Insulation</t>
  </si>
  <si>
    <t>Heating System</t>
  </si>
  <si>
    <t>Water Heating System</t>
  </si>
  <si>
    <t xml:space="preserve">AC System </t>
  </si>
  <si>
    <t>Other Eligible Measures</t>
  </si>
  <si>
    <t>free</t>
  </si>
  <si>
    <t>R/ECON CPI NJ</t>
  </si>
  <si>
    <t>Source:  R-Econ Run dated 12/11/08</t>
  </si>
  <si>
    <t>CO2 Allowance Price</t>
  </si>
  <si>
    <t>NOx Allowance Price</t>
  </si>
  <si>
    <t>SO2 Allowance Price</t>
  </si>
  <si>
    <t>per ton</t>
  </si>
  <si>
    <t>CO2 (Tons)</t>
  </si>
  <si>
    <t>Nox (Tons)</t>
  </si>
  <si>
    <t>SO2 (Tons)</t>
  </si>
  <si>
    <t>CO2 Cost Savings</t>
  </si>
  <si>
    <t>NOx Cost Savings</t>
  </si>
  <si>
    <t>SO2 Cost Savings</t>
  </si>
  <si>
    <t>NOx Data: Chicago Climate Exchange Data</t>
  </si>
  <si>
    <t>SO2 Data: EPA Annual Auction</t>
  </si>
  <si>
    <t>CO2 Data: RGGI Auction Data</t>
  </si>
  <si>
    <t>Allowance Prices</t>
  </si>
  <si>
    <t>Program Participants</t>
  </si>
  <si>
    <t>Total MWh Conserved</t>
  </si>
  <si>
    <t>Total MMBtu Conserved</t>
  </si>
  <si>
    <t>Source:  PJM Average Discloser Label 2006</t>
  </si>
  <si>
    <t>Electricity (lbs/MWh)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</si>
</sst>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&quot;$&quot;#,##0.00"/>
    <numFmt numFmtId="167" formatCode="&quot;$&quot;#,##0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&quot;$&quot;#,##0.000"/>
    <numFmt numFmtId="176" formatCode="_(* #,##0.0_);_(* \(#,##0.0\);_(* &quot;-&quot;??_);_(@_)"/>
    <numFmt numFmtId="177" formatCode="#,##0.0"/>
    <numFmt numFmtId="178" formatCode="mm/dd/yy;@"/>
    <numFmt numFmtId="179" formatCode="[$-409]mmm\-yy;@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0.000"/>
    <numFmt numFmtId="183" formatCode="_(* #,##0_);_(* \(#,##0\);_(* &quot;-&quot;??_);_(@_)"/>
    <numFmt numFmtId="184" formatCode="&quot;$&quot;#,##0.0_);[Red]\(&quot;$&quot;#,##0.0\)"/>
    <numFmt numFmtId="185" formatCode="_(&quot;$&quot;* #,##0.000_);_(&quot;$&quot;* \(#,##0.000\);_(&quot;$&quot;* &quot;-&quot;??_);_(@_)"/>
  </numFmts>
  <fonts count="32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44" fontId="0" fillId="24" borderId="0" xfId="4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8" fontId="0" fillId="10" borderId="10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8" fontId="0" fillId="25" borderId="10" xfId="0" applyNumberFormat="1" applyFill="1" applyBorder="1" applyAlignment="1">
      <alignment/>
    </xf>
    <xf numFmtId="8" fontId="0" fillId="26" borderId="10" xfId="0" applyNumberFormat="1" applyFill="1" applyBorder="1" applyAlignment="1">
      <alignment/>
    </xf>
    <xf numFmtId="8" fontId="0" fillId="15" borderId="10" xfId="0" applyNumberFormat="1" applyFill="1" applyBorder="1" applyAlignment="1">
      <alignment/>
    </xf>
    <xf numFmtId="8" fontId="0" fillId="3" borderId="10" xfId="0" applyNumberFormat="1" applyFill="1" applyBorder="1" applyAlignment="1">
      <alignment/>
    </xf>
    <xf numFmtId="8" fontId="0" fillId="27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28" borderId="0" xfId="0" applyFill="1" applyAlignment="1">
      <alignment/>
    </xf>
    <xf numFmtId="4" fontId="0" fillId="28" borderId="0" xfId="0" applyNumberFormat="1" applyFill="1" applyBorder="1" applyAlignment="1">
      <alignment/>
    </xf>
    <xf numFmtId="3" fontId="0" fillId="10" borderId="10" xfId="0" applyNumberFormat="1" applyFill="1" applyBorder="1" applyAlignment="1">
      <alignment horizontal="center"/>
    </xf>
    <xf numFmtId="3" fontId="0" fillId="25" borderId="10" xfId="0" applyNumberForma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0" fillId="15" borderId="10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27" borderId="1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167" fontId="0" fillId="26" borderId="10" xfId="0" applyNumberFormat="1" applyFill="1" applyBorder="1" applyAlignment="1">
      <alignment horizontal="center"/>
    </xf>
    <xf numFmtId="167" fontId="0" fillId="15" borderId="10" xfId="0" applyNumberFormat="1" applyFill="1" applyBorder="1" applyAlignment="1">
      <alignment horizontal="center"/>
    </xf>
    <xf numFmtId="167" fontId="0" fillId="3" borderId="10" xfId="0" applyNumberFormat="1" applyFill="1" applyBorder="1" applyAlignment="1">
      <alignment horizontal="center"/>
    </xf>
    <xf numFmtId="167" fontId="0" fillId="27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9" fontId="0" fillId="25" borderId="10" xfId="0" applyNumberForma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8" fontId="1" fillId="10" borderId="10" xfId="0" applyNumberFormat="1" applyFont="1" applyFill="1" applyBorder="1" applyAlignment="1">
      <alignment/>
    </xf>
    <xf numFmtId="8" fontId="1" fillId="25" borderId="10" xfId="0" applyNumberFormat="1" applyFont="1" applyFill="1" applyBorder="1" applyAlignment="1">
      <alignment/>
    </xf>
    <xf numFmtId="8" fontId="1" fillId="26" borderId="10" xfId="0" applyNumberFormat="1" applyFont="1" applyFill="1" applyBorder="1" applyAlignment="1">
      <alignment/>
    </xf>
    <xf numFmtId="8" fontId="1" fillId="15" borderId="10" xfId="0" applyNumberFormat="1" applyFont="1" applyFill="1" applyBorder="1" applyAlignment="1">
      <alignment/>
    </xf>
    <xf numFmtId="8" fontId="1" fillId="3" borderId="10" xfId="0" applyNumberFormat="1" applyFont="1" applyFill="1" applyBorder="1" applyAlignment="1">
      <alignment/>
    </xf>
    <xf numFmtId="8" fontId="1" fillId="2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4" borderId="1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center" wrapText="1"/>
    </xf>
    <xf numFmtId="169" fontId="0" fillId="0" borderId="17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 vertical="center" wrapText="1"/>
    </xf>
    <xf numFmtId="169" fontId="0" fillId="0" borderId="32" xfId="0" applyNumberFormat="1" applyBorder="1" applyAlignment="1">
      <alignment horizontal="center" vertical="center" wrapText="1"/>
    </xf>
    <xf numFmtId="169" fontId="0" fillId="0" borderId="33" xfId="0" applyNumberFormat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 vertical="center" wrapText="1"/>
    </xf>
    <xf numFmtId="169" fontId="0" fillId="0" borderId="35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9" fontId="0" fillId="26" borderId="10" xfId="0" applyNumberFormat="1" applyFill="1" applyBorder="1" applyAlignment="1">
      <alignment horizontal="center"/>
    </xf>
    <xf numFmtId="9" fontId="0" fillId="15" borderId="10" xfId="0" applyNumberForma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27" borderId="10" xfId="0" applyNumberForma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7" fontId="0" fillId="0" borderId="0" xfId="0" applyNumberForma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7" fontId="2" fillId="0" borderId="38" xfId="0" applyNumberFormat="1" applyFont="1" applyBorder="1" applyAlignment="1">
      <alignment horizontal="center" vertical="center" wrapText="1"/>
    </xf>
    <xf numFmtId="166" fontId="2" fillId="0" borderId="38" xfId="0" applyNumberFormat="1" applyFon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7" fontId="0" fillId="0" borderId="15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7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2" fontId="1" fillId="3" borderId="10" xfId="0" applyNumberFormat="1" applyFont="1" applyFill="1" applyBorder="1" applyAlignment="1">
      <alignment/>
    </xf>
    <xf numFmtId="2" fontId="1" fillId="27" borderId="10" xfId="0" applyNumberFormat="1" applyFon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/>
    </xf>
    <xf numFmtId="2" fontId="1" fillId="26" borderId="10" xfId="0" applyNumberFormat="1" applyFont="1" applyFill="1" applyBorder="1" applyAlignment="1">
      <alignment/>
    </xf>
    <xf numFmtId="2" fontId="1" fillId="1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4" fontId="2" fillId="0" borderId="0" xfId="0" applyNumberFormat="1" applyFont="1" applyAlignment="1">
      <alignment/>
    </xf>
    <xf numFmtId="9" fontId="0" fillId="0" borderId="0" xfId="59" applyFont="1" applyFill="1" applyBorder="1" applyAlignment="1">
      <alignment horizontal="center"/>
    </xf>
    <xf numFmtId="174" fontId="0" fillId="0" borderId="0" xfId="0" applyNumberFormat="1" applyBorder="1" applyAlignment="1">
      <alignment/>
    </xf>
    <xf numFmtId="169" fontId="0" fillId="10" borderId="10" xfId="0" applyNumberFormat="1" applyFill="1" applyBorder="1" applyAlignment="1">
      <alignment horizontal="center"/>
    </xf>
    <xf numFmtId="169" fontId="0" fillId="25" borderId="10" xfId="0" applyNumberFormat="1" applyFill="1" applyBorder="1" applyAlignment="1">
      <alignment horizontal="center"/>
    </xf>
    <xf numFmtId="169" fontId="0" fillId="26" borderId="10" xfId="0" applyNumberFormat="1" applyFill="1" applyBorder="1" applyAlignment="1">
      <alignment horizontal="center"/>
    </xf>
    <xf numFmtId="169" fontId="0" fillId="15" borderId="10" xfId="0" applyNumberFormat="1" applyFill="1" applyBorder="1" applyAlignment="1">
      <alignment horizontal="center"/>
    </xf>
    <xf numFmtId="169" fontId="0" fillId="3" borderId="10" xfId="0" applyNumberFormat="1" applyFill="1" applyBorder="1" applyAlignment="1">
      <alignment horizontal="center"/>
    </xf>
    <xf numFmtId="169" fontId="0" fillId="27" borderId="10" xfId="0" applyNumberFormat="1" applyFill="1" applyBorder="1" applyAlignment="1">
      <alignment horizontal="center"/>
    </xf>
    <xf numFmtId="0" fontId="0" fillId="10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2" fontId="0" fillId="26" borderId="10" xfId="0" applyNumberFormat="1" applyFill="1" applyBorder="1" applyAlignment="1">
      <alignment/>
    </xf>
    <xf numFmtId="2" fontId="0" fillId="15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27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3" fontId="0" fillId="25" borderId="10" xfId="0" applyNumberFormat="1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15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27" borderId="10" xfId="0" applyNumberFormat="1" applyFill="1" applyBorder="1" applyAlignment="1">
      <alignment/>
    </xf>
    <xf numFmtId="176" fontId="0" fillId="0" borderId="0" xfId="42" applyNumberFormat="1" applyFont="1" applyAlignment="1">
      <alignment/>
    </xf>
    <xf numFmtId="167" fontId="0" fillId="0" borderId="13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27" borderId="10" xfId="0" applyNumberFormat="1" applyFill="1" applyBorder="1" applyAlignment="1">
      <alignment horizontal="center"/>
    </xf>
    <xf numFmtId="9" fontId="0" fillId="10" borderId="10" xfId="0" applyNumberForma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27" borderId="1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25" borderId="10" xfId="0" applyNumberFormat="1" applyFill="1" applyBorder="1" applyAlignment="1">
      <alignment horizontal="center"/>
    </xf>
    <xf numFmtId="0" fontId="0" fillId="26" borderId="10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169" fontId="0" fillId="0" borderId="0" xfId="59" applyNumberFormat="1" applyFont="1" applyAlignment="1">
      <alignment/>
    </xf>
    <xf numFmtId="177" fontId="0" fillId="1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69" fontId="0" fillId="0" borderId="0" xfId="0" applyNumberFormat="1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22" borderId="31" xfId="0" applyFill="1" applyBorder="1" applyAlignment="1">
      <alignment/>
    </xf>
    <xf numFmtId="0" fontId="31" fillId="0" borderId="31" xfId="0" applyFont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22" xfId="0" applyFont="1" applyBorder="1" applyAlignment="1">
      <alignment/>
    </xf>
    <xf numFmtId="0" fontId="31" fillId="0" borderId="39" xfId="0" applyFont="1" applyFill="1" applyBorder="1" applyAlignment="1">
      <alignment/>
    </xf>
    <xf numFmtId="6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44" fontId="0" fillId="0" borderId="10" xfId="44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9" fontId="0" fillId="0" borderId="10" xfId="59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8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right" wrapText="1"/>
    </xf>
    <xf numFmtId="180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9" fontId="0" fillId="0" borderId="10" xfId="59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center"/>
    </xf>
    <xf numFmtId="9" fontId="10" fillId="0" borderId="10" xfId="59" applyFont="1" applyFill="1" applyBorder="1" applyAlignment="1">
      <alignment/>
    </xf>
    <xf numFmtId="44" fontId="0" fillId="0" borderId="10" xfId="44" applyFill="1" applyBorder="1" applyAlignment="1">
      <alignment/>
    </xf>
    <xf numFmtId="9" fontId="0" fillId="0" borderId="10" xfId="59" applyFont="1" applyFill="1" applyBorder="1" applyAlignment="1">
      <alignment horizontal="center"/>
    </xf>
    <xf numFmtId="9" fontId="10" fillId="0" borderId="10" xfId="0" applyNumberFormat="1" applyFont="1" applyFill="1" applyBorder="1" applyAlignment="1">
      <alignment horizontal="right"/>
    </xf>
    <xf numFmtId="44" fontId="0" fillId="0" borderId="0" xfId="44" applyAlignment="1">
      <alignment/>
    </xf>
    <xf numFmtId="0" fontId="0" fillId="0" borderId="0" xfId="0" applyNumberFormat="1" applyAlignment="1">
      <alignment/>
    </xf>
    <xf numFmtId="180" fontId="0" fillId="0" borderId="0" xfId="44" applyNumberFormat="1" applyAlignment="1">
      <alignment/>
    </xf>
    <xf numFmtId="183" fontId="0" fillId="0" borderId="0" xfId="42" applyNumberFormat="1" applyAlignment="1">
      <alignment/>
    </xf>
    <xf numFmtId="0" fontId="0" fillId="0" borderId="10" xfId="0" applyFont="1" applyBorder="1" applyAlignment="1">
      <alignment/>
    </xf>
    <xf numFmtId="43" fontId="0" fillId="0" borderId="0" xfId="42" applyNumberFormat="1" applyAlignment="1">
      <alignment/>
    </xf>
    <xf numFmtId="180" fontId="0" fillId="0" borderId="10" xfId="44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 horizontal="right"/>
    </xf>
    <xf numFmtId="185" fontId="0" fillId="0" borderId="10" xfId="44" applyNumberFormat="1" applyFill="1" applyBorder="1" applyAlignment="1">
      <alignment/>
    </xf>
    <xf numFmtId="180" fontId="0" fillId="0" borderId="10" xfId="44" applyNumberFormat="1" applyFont="1" applyFill="1" applyBorder="1" applyAlignment="1">
      <alignment horizontal="right"/>
    </xf>
    <xf numFmtId="44" fontId="0" fillId="0" borderId="10" xfId="44" applyFont="1" applyFill="1" applyBorder="1" applyAlignment="1">
      <alignment horizontal="right"/>
    </xf>
    <xf numFmtId="169" fontId="0" fillId="0" borderId="10" xfId="59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10" borderId="0" xfId="0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17" borderId="0" xfId="0" applyFill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32" xfId="0" applyNumberForma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5375"/>
          <c:w val="0.67775"/>
          <c:h val="0.8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'Capacity Prices'!$B$1</c:f>
              <c:strCache>
                <c:ptCount val="1"/>
                <c:pt idx="0">
                  <c:v>Capacity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'Capacity Prices'!$A$3:$A$23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'Capacity Prices'!$B$3:$B$23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6490462"/>
        <c:axId val="38652111"/>
      </c:scatterChart>
      <c:val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 val="autoZero"/>
        <c:crossBetween val="midCat"/>
        <c:dispUnits/>
      </c:val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5"/>
          <c:y val="0.395"/>
          <c:w val="0.27225"/>
          <c:h val="0.2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9</xdr:row>
      <xdr:rowOff>114300</xdr:rowOff>
    </xdr:from>
    <xdr:to>
      <xdr:col>11</xdr:col>
      <xdr:colOff>219075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333625" y="15716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7"/>
  <sheetViews>
    <sheetView tabSelected="1" zoomScale="85" zoomScaleNormal="85" zoomScalePageLayoutView="0" workbookViewId="0" topLeftCell="A19">
      <selection activeCell="C47" sqref="C47"/>
    </sheetView>
  </sheetViews>
  <sheetFormatPr defaultColWidth="9.140625" defaultRowHeight="12.75"/>
  <cols>
    <col min="1" max="1" width="41.7109375" style="0" bestFit="1" customWidth="1"/>
    <col min="2" max="2" width="18.57421875" style="10" customWidth="1"/>
    <col min="3" max="7" width="12.8515625" style="0" customWidth="1"/>
  </cols>
  <sheetData>
    <row r="1" ht="12.75">
      <c r="A1" t="s">
        <v>155</v>
      </c>
    </row>
    <row r="2" ht="12.75">
      <c r="A2" t="s">
        <v>156</v>
      </c>
    </row>
    <row r="3" spans="1:2" ht="12.75">
      <c r="A3" t="s">
        <v>229</v>
      </c>
      <c r="B3" s="178"/>
    </row>
    <row r="4" spans="1:7" ht="18">
      <c r="A4" s="241" t="s">
        <v>143</v>
      </c>
      <c r="B4" s="241"/>
      <c r="C4" s="242"/>
      <c r="D4" s="242"/>
      <c r="E4" s="242"/>
      <c r="F4" s="242"/>
      <c r="G4" s="242"/>
    </row>
    <row r="5" spans="2:7" s="125" customFormat="1" ht="12.75">
      <c r="B5" s="199">
        <v>2009</v>
      </c>
      <c r="C5" s="127">
        <v>2010</v>
      </c>
      <c r="D5" s="127"/>
      <c r="E5" s="127"/>
      <c r="F5" s="127" t="s">
        <v>772</v>
      </c>
      <c r="G5" s="127" t="s">
        <v>773</v>
      </c>
    </row>
    <row r="6" spans="1:7" ht="12.75">
      <c r="A6" t="s">
        <v>809</v>
      </c>
      <c r="B6" s="32"/>
      <c r="C6" s="33"/>
      <c r="D6" s="34"/>
      <c r="E6" s="35"/>
      <c r="F6" s="36"/>
      <c r="G6" s="37"/>
    </row>
    <row r="7" spans="3:7" ht="12.75">
      <c r="C7" s="15"/>
      <c r="D7" s="15"/>
      <c r="E7" s="15"/>
      <c r="F7" s="15"/>
      <c r="G7" s="15"/>
    </row>
    <row r="8" spans="1:7" ht="12.75">
      <c r="A8" t="s">
        <v>732</v>
      </c>
      <c r="B8" s="32"/>
      <c r="C8" s="33"/>
      <c r="D8" s="34"/>
      <c r="E8" s="35"/>
      <c r="F8" s="36"/>
      <c r="G8" s="37"/>
    </row>
    <row r="9" spans="2:7" ht="12.75">
      <c r="B9" s="14"/>
      <c r="C9" s="15"/>
      <c r="D9" s="15"/>
      <c r="E9" s="15"/>
      <c r="F9" s="15"/>
      <c r="G9" s="15"/>
    </row>
    <row r="10" ht="12.75">
      <c r="A10" t="s">
        <v>726</v>
      </c>
    </row>
    <row r="11" spans="1:7" ht="12.75">
      <c r="A11" s="1" t="s">
        <v>724</v>
      </c>
      <c r="B11" s="177" t="e">
        <f>$B$8/$B$6</f>
        <v>#DIV/0!</v>
      </c>
      <c r="C11" s="33" t="e">
        <f>$C$8/$C$6</f>
        <v>#DIV/0!</v>
      </c>
      <c r="D11" s="34" t="e">
        <f>$D$8/$D$6</f>
        <v>#DIV/0!</v>
      </c>
      <c r="E11" s="35" t="e">
        <f>$E$8/$E$6</f>
        <v>#DIV/0!</v>
      </c>
      <c r="F11" s="36" t="e">
        <f>$F$8/$F$6</f>
        <v>#DIV/0!</v>
      </c>
      <c r="G11" s="37" t="e">
        <f>$G$8/$G$6</f>
        <v>#DIV/0!</v>
      </c>
    </row>
    <row r="12" spans="1:7" ht="12.75">
      <c r="A12" s="1" t="s">
        <v>725</v>
      </c>
      <c r="B12" s="32"/>
      <c r="C12" s="33"/>
      <c r="D12" s="34"/>
      <c r="E12" s="35"/>
      <c r="F12" s="36"/>
      <c r="G12" s="37"/>
    </row>
    <row r="13" spans="1:7" ht="12.75">
      <c r="A13" s="1" t="s">
        <v>225</v>
      </c>
      <c r="B13" s="32">
        <v>0</v>
      </c>
      <c r="C13" s="33"/>
      <c r="D13" s="34"/>
      <c r="E13" s="35"/>
      <c r="F13" s="36"/>
      <c r="G13" s="37"/>
    </row>
    <row r="14" spans="1:7" ht="12.75">
      <c r="A14" s="1" t="s">
        <v>226</v>
      </c>
      <c r="B14" s="32">
        <v>0</v>
      </c>
      <c r="C14" s="33"/>
      <c r="D14" s="34"/>
      <c r="E14" s="35"/>
      <c r="F14" s="36"/>
      <c r="G14" s="37"/>
    </row>
    <row r="15" spans="1:7" ht="12.75">
      <c r="A15" s="1"/>
      <c r="B15" s="38"/>
      <c r="C15" s="39"/>
      <c r="D15" s="39"/>
      <c r="E15" s="39"/>
      <c r="F15" s="39"/>
      <c r="G15" s="39"/>
    </row>
    <row r="16" spans="1:7" ht="12.75">
      <c r="A16" s="2" t="s">
        <v>203</v>
      </c>
      <c r="B16" s="40"/>
      <c r="C16" s="41"/>
      <c r="D16" s="41"/>
      <c r="E16" s="41"/>
      <c r="F16" s="41"/>
      <c r="G16" s="41"/>
    </row>
    <row r="17" spans="1:7" ht="12.75">
      <c r="A17" s="1" t="s">
        <v>177</v>
      </c>
      <c r="B17" s="169"/>
      <c r="C17" s="56"/>
      <c r="D17" s="105"/>
      <c r="E17" s="106"/>
      <c r="F17" s="107"/>
      <c r="G17" s="108"/>
    </row>
    <row r="18" spans="1:7" ht="12.75">
      <c r="A18" s="1" t="s">
        <v>178</v>
      </c>
      <c r="B18" s="169"/>
      <c r="C18" s="56"/>
      <c r="D18" s="105"/>
      <c r="E18" s="106"/>
      <c r="F18" s="107"/>
      <c r="G18" s="108"/>
    </row>
    <row r="19" spans="1:7" ht="12.75">
      <c r="A19" s="1" t="s">
        <v>179</v>
      </c>
      <c r="B19" s="169"/>
      <c r="C19" s="56"/>
      <c r="D19" s="105"/>
      <c r="E19" s="106"/>
      <c r="F19" s="107"/>
      <c r="G19" s="108"/>
    </row>
    <row r="20" spans="1:7" ht="12.75">
      <c r="A20" s="1" t="s">
        <v>180</v>
      </c>
      <c r="B20" s="169"/>
      <c r="C20" s="56"/>
      <c r="D20" s="105"/>
      <c r="E20" s="106"/>
      <c r="F20" s="107"/>
      <c r="G20" s="108"/>
    </row>
    <row r="21" spans="1:7" ht="12.75">
      <c r="A21" s="1" t="s">
        <v>170</v>
      </c>
      <c r="B21" s="139">
        <f aca="true" t="shared" si="0" ref="B21:G21">SUM(B17:B20)</f>
        <v>0</v>
      </c>
      <c r="C21" s="139">
        <f t="shared" si="0"/>
        <v>0</v>
      </c>
      <c r="D21" s="139">
        <f t="shared" si="0"/>
        <v>0</v>
      </c>
      <c r="E21" s="139">
        <f t="shared" si="0"/>
        <v>0</v>
      </c>
      <c r="F21" s="139">
        <f t="shared" si="0"/>
        <v>0</v>
      </c>
      <c r="G21" s="139">
        <f t="shared" si="0"/>
        <v>0</v>
      </c>
    </row>
    <row r="22" spans="1:7" ht="12.75">
      <c r="A22" s="1"/>
      <c r="B22" s="42"/>
      <c r="C22" s="39"/>
      <c r="D22" s="39"/>
      <c r="E22" s="39"/>
      <c r="F22" s="39"/>
      <c r="G22" s="39"/>
    </row>
    <row r="23" spans="1:7" ht="12.75">
      <c r="A23" t="s">
        <v>733</v>
      </c>
      <c r="B23" s="32"/>
      <c r="C23" s="33"/>
      <c r="D23" s="34"/>
      <c r="E23" s="35"/>
      <c r="F23" s="36"/>
      <c r="G23" s="37"/>
    </row>
    <row r="24" spans="1:7" ht="12.75">
      <c r="A24" s="1"/>
      <c r="B24" s="42"/>
      <c r="C24" s="39"/>
      <c r="D24" s="39"/>
      <c r="E24" s="39"/>
      <c r="F24" s="39"/>
      <c r="G24" s="39"/>
    </row>
    <row r="25" spans="1:7" ht="12.75">
      <c r="A25" t="s">
        <v>727</v>
      </c>
      <c r="B25" s="43"/>
      <c r="C25" s="44"/>
      <c r="D25" s="44"/>
      <c r="E25" s="44"/>
      <c r="F25" s="44"/>
      <c r="G25" s="44"/>
    </row>
    <row r="26" spans="1:7" ht="12.75">
      <c r="A26" s="71" t="s">
        <v>223</v>
      </c>
      <c r="B26" s="32" t="e">
        <f>$B$23/$B$6</f>
        <v>#DIV/0!</v>
      </c>
      <c r="C26" s="33" t="e">
        <f>$C$23/$C$6</f>
        <v>#DIV/0!</v>
      </c>
      <c r="D26" s="34" t="e">
        <f>$D$23/$D$6</f>
        <v>#DIV/0!</v>
      </c>
      <c r="E26" s="35" t="e">
        <f>$E$23/$E$6</f>
        <v>#DIV/0!</v>
      </c>
      <c r="F26" s="36" t="e">
        <f>$F$23/$F$6</f>
        <v>#DIV/0!</v>
      </c>
      <c r="G26" s="37" t="e">
        <f>$G$23/$G$6</f>
        <v>#DIV/0!</v>
      </c>
    </row>
    <row r="27" spans="1:7" ht="12.75">
      <c r="A27" s="1" t="s">
        <v>224</v>
      </c>
      <c r="B27" s="32"/>
      <c r="C27" s="33"/>
      <c r="D27" s="34"/>
      <c r="E27" s="35"/>
      <c r="F27" s="36"/>
      <c r="G27" s="37"/>
    </row>
    <row r="28" spans="1:7" ht="12.75">
      <c r="A28" s="1"/>
      <c r="B28" s="45"/>
      <c r="C28" s="46"/>
      <c r="D28" s="46"/>
      <c r="E28" s="46"/>
      <c r="F28" s="46"/>
      <c r="G28" s="46"/>
    </row>
    <row r="29" spans="1:7" ht="12.75">
      <c r="A29" s="2" t="s">
        <v>204</v>
      </c>
      <c r="B29" s="40"/>
      <c r="C29" s="41"/>
      <c r="D29" s="41"/>
      <c r="E29" s="41"/>
      <c r="F29" s="41"/>
      <c r="G29" s="41"/>
    </row>
    <row r="30" spans="1:7" ht="12.75">
      <c r="A30" s="1" t="s">
        <v>205</v>
      </c>
      <c r="B30" s="169"/>
      <c r="C30" s="56"/>
      <c r="D30" s="105"/>
      <c r="E30" s="106"/>
      <c r="F30" s="107"/>
      <c r="G30" s="108"/>
    </row>
    <row r="31" spans="1:7" ht="12.75">
      <c r="A31" s="1" t="s">
        <v>206</v>
      </c>
      <c r="B31" s="169"/>
      <c r="C31" s="56"/>
      <c r="D31" s="105"/>
      <c r="E31" s="106"/>
      <c r="F31" s="107"/>
      <c r="G31" s="108"/>
    </row>
    <row r="32" spans="1:7" ht="12.75">
      <c r="A32" s="1" t="s">
        <v>170</v>
      </c>
      <c r="B32" s="139">
        <f aca="true" t="shared" si="1" ref="B32:G32">SUM(B30:B31)</f>
        <v>0</v>
      </c>
      <c r="C32" s="139">
        <f t="shared" si="1"/>
        <v>0</v>
      </c>
      <c r="D32" s="139">
        <f t="shared" si="1"/>
        <v>0</v>
      </c>
      <c r="E32" s="139">
        <f t="shared" si="1"/>
        <v>0</v>
      </c>
      <c r="F32" s="139">
        <f t="shared" si="1"/>
        <v>0</v>
      </c>
      <c r="G32" s="139">
        <f t="shared" si="1"/>
        <v>0</v>
      </c>
    </row>
    <row r="33" spans="1:7" ht="12.75">
      <c r="A33" s="1"/>
      <c r="B33" s="38"/>
      <c r="C33" s="44"/>
      <c r="D33" s="44"/>
      <c r="E33" s="44"/>
      <c r="F33" s="44"/>
      <c r="G33" s="44"/>
    </row>
    <row r="34" spans="1:7" ht="12.75">
      <c r="A34" s="2" t="s">
        <v>222</v>
      </c>
      <c r="B34" s="141"/>
      <c r="C34" s="142"/>
      <c r="D34" s="143"/>
      <c r="E34" s="144"/>
      <c r="F34" s="145"/>
      <c r="G34" s="146"/>
    </row>
    <row r="35" spans="1:7" ht="12.75">
      <c r="A35" s="2"/>
      <c r="B35" s="70"/>
      <c r="C35" s="70"/>
      <c r="D35" s="70"/>
      <c r="E35" s="70"/>
      <c r="F35" s="70"/>
      <c r="G35" s="70"/>
    </row>
    <row r="36" spans="1:7" ht="12.75">
      <c r="A36" s="2" t="s">
        <v>712</v>
      </c>
      <c r="B36" s="141"/>
      <c r="C36" s="142"/>
      <c r="D36" s="143"/>
      <c r="E36" s="144"/>
      <c r="F36" s="145"/>
      <c r="G36" s="146"/>
    </row>
    <row r="37" spans="1:7" ht="12.75">
      <c r="A37" s="2"/>
      <c r="B37" s="162"/>
      <c r="C37" s="162"/>
      <c r="D37" s="162"/>
      <c r="E37" s="162"/>
      <c r="F37" s="162"/>
      <c r="G37" s="162"/>
    </row>
    <row r="38" spans="1:7" ht="12.75">
      <c r="A38" s="2" t="s">
        <v>756</v>
      </c>
      <c r="B38" s="163"/>
      <c r="C38" s="164"/>
      <c r="D38" s="165"/>
      <c r="E38" s="166"/>
      <c r="F38" s="167"/>
      <c r="G38" s="168"/>
    </row>
    <row r="39" spans="1:7" ht="12.75">
      <c r="A39" s="1"/>
      <c r="B39" s="38"/>
      <c r="C39" s="44"/>
      <c r="D39" s="44"/>
      <c r="E39" s="44"/>
      <c r="F39" s="44"/>
      <c r="G39" s="44"/>
    </row>
    <row r="40" spans="1:7" ht="12.75">
      <c r="A40" t="s">
        <v>728</v>
      </c>
      <c r="B40" s="47"/>
      <c r="C40" s="48"/>
      <c r="D40" s="49"/>
      <c r="E40" s="50"/>
      <c r="F40" s="51"/>
      <c r="G40" s="52"/>
    </row>
    <row r="41" spans="2:7" ht="12.75">
      <c r="B41" s="43"/>
      <c r="C41" s="44"/>
      <c r="D41" s="44"/>
      <c r="E41" s="44"/>
      <c r="F41" s="44"/>
      <c r="G41" s="44"/>
    </row>
    <row r="42" spans="1:7" ht="12.75">
      <c r="A42" t="s">
        <v>734</v>
      </c>
      <c r="B42" s="32"/>
      <c r="C42" s="33"/>
      <c r="D42" s="34"/>
      <c r="E42" s="35"/>
      <c r="F42" s="36"/>
      <c r="G42" s="37"/>
    </row>
    <row r="43" spans="2:7" ht="12.75">
      <c r="B43" s="43"/>
      <c r="C43" s="44"/>
      <c r="D43" s="44"/>
      <c r="E43" s="44"/>
      <c r="F43" s="44"/>
      <c r="G43" s="44"/>
    </row>
    <row r="44" spans="1:7" ht="12.75">
      <c r="A44" t="s">
        <v>729</v>
      </c>
      <c r="B44" s="47" t="e">
        <f>$B$42/$B$6</f>
        <v>#DIV/0!</v>
      </c>
      <c r="C44" s="48" t="e">
        <f>$C$42/$C$6</f>
        <v>#DIV/0!</v>
      </c>
      <c r="D44" s="49" t="e">
        <f>$D$42/$D$6</f>
        <v>#DIV/0!</v>
      </c>
      <c r="E44" s="50" t="e">
        <f>$E$42/$E$6</f>
        <v>#DIV/0!</v>
      </c>
      <c r="F44" s="51" t="e">
        <f>$F$42/$F$6</f>
        <v>#DIV/0!</v>
      </c>
      <c r="G44" s="52" t="e">
        <f>$G$42/$G$6</f>
        <v>#DIV/0!</v>
      </c>
    </row>
    <row r="45" spans="2:7" ht="12.75">
      <c r="B45" s="43"/>
      <c r="C45" s="44"/>
      <c r="D45" s="44"/>
      <c r="E45" s="44"/>
      <c r="F45" s="44"/>
      <c r="G45" s="44"/>
    </row>
    <row r="46" spans="1:7" ht="12.75">
      <c r="A46" t="s">
        <v>735</v>
      </c>
      <c r="B46" s="47" t="e">
        <f>Benefits!$E$138/$B$6</f>
        <v>#DIV/0!</v>
      </c>
      <c r="C46" s="48" t="e">
        <f>NPV(C67,Benefits!R138:R139)/'Summary Sheet'!$C$6</f>
        <v>#DIV/0!</v>
      </c>
      <c r="D46" s="49" t="e">
        <f>Benefits!$AE$138/'Summary Sheet'!$D$6</f>
        <v>#DIV/0!</v>
      </c>
      <c r="E46" s="50" t="e">
        <f>Benefits!$AR$138/'Summary Sheet'!$E$6</f>
        <v>#DIV/0!</v>
      </c>
      <c r="F46" s="51" t="e">
        <f>Benefits!$BE$138/'Summary Sheet'!$F$6</f>
        <v>#DIV/0!</v>
      </c>
      <c r="G46" s="52" t="e">
        <f>Benefits!$BR$138/'Summary Sheet'!$G$6</f>
        <v>#DIV/0!</v>
      </c>
    </row>
    <row r="47" spans="1:7" ht="12.75">
      <c r="A47" t="s">
        <v>736</v>
      </c>
      <c r="B47" s="47" t="e">
        <f>Benefits!$K$4/$B$6</f>
        <v>#DIV/0!</v>
      </c>
      <c r="C47" s="48" t="e">
        <f>NPV(C67,Benefits!X4:X5)/'Summary Sheet'!$C$6</f>
        <v>#DIV/0!</v>
      </c>
      <c r="D47" s="49" t="e">
        <f>Benefits!$AK$4/'Summary Sheet'!$D$6</f>
        <v>#DIV/0!</v>
      </c>
      <c r="E47" s="50" t="e">
        <f>Benefits!$AX$4/'Summary Sheet'!$E$6</f>
        <v>#DIV/0!</v>
      </c>
      <c r="F47" s="51" t="e">
        <f>Benefits!$BK$4/'Summary Sheet'!$F$6</f>
        <v>#DIV/0!</v>
      </c>
      <c r="G47" s="52" t="e">
        <f>Benefits!$BX$4/'Summary Sheet'!$G$6</f>
        <v>#DIV/0!</v>
      </c>
    </row>
    <row r="48" spans="2:7" ht="12.75">
      <c r="B48" s="43"/>
      <c r="C48" s="44"/>
      <c r="D48" s="44"/>
      <c r="E48" s="44"/>
      <c r="F48" s="44"/>
      <c r="G48" s="44"/>
    </row>
    <row r="49" spans="1:7" ht="12.75">
      <c r="A49" t="s">
        <v>730</v>
      </c>
      <c r="B49" s="53"/>
      <c r="C49" s="44"/>
      <c r="D49" s="44"/>
      <c r="E49" s="44"/>
      <c r="F49" s="44"/>
      <c r="G49" s="44"/>
    </row>
    <row r="50" spans="1:7" ht="12.75">
      <c r="A50" s="1" t="s">
        <v>709</v>
      </c>
      <c r="B50" s="47"/>
      <c r="C50" s="48"/>
      <c r="D50" s="49">
        <f>B50</f>
        <v>0</v>
      </c>
      <c r="E50" s="50">
        <f>C50</f>
        <v>0</v>
      </c>
      <c r="F50" s="51"/>
      <c r="G50" s="52"/>
    </row>
    <row r="51" spans="1:7" ht="12.75">
      <c r="A51" s="1" t="s">
        <v>710</v>
      </c>
      <c r="B51" s="47"/>
      <c r="C51" s="48"/>
      <c r="D51" s="49"/>
      <c r="E51" s="50"/>
      <c r="F51" s="51"/>
      <c r="G51" s="52"/>
    </row>
    <row r="52" spans="2:7" ht="12.75">
      <c r="B52" s="43"/>
      <c r="C52" s="44"/>
      <c r="D52" s="44"/>
      <c r="E52" s="44"/>
      <c r="F52" s="44"/>
      <c r="G52" s="44"/>
    </row>
    <row r="53" spans="1:7" ht="12.75">
      <c r="A53" t="s">
        <v>713</v>
      </c>
      <c r="B53" s="43"/>
      <c r="C53" s="44"/>
      <c r="D53" s="44"/>
      <c r="E53" s="44"/>
      <c r="F53" s="44"/>
      <c r="G53" s="44"/>
    </row>
    <row r="54" spans="1:7" ht="12.75">
      <c r="A54" s="1" t="s">
        <v>147</v>
      </c>
      <c r="B54" s="47"/>
      <c r="C54" s="48"/>
      <c r="D54" s="49"/>
      <c r="E54" s="50"/>
      <c r="F54" s="51"/>
      <c r="G54" s="52"/>
    </row>
    <row r="55" spans="1:7" ht="12.75">
      <c r="A55" s="1" t="s">
        <v>711</v>
      </c>
      <c r="B55" s="47"/>
      <c r="C55" s="48"/>
      <c r="D55" s="49"/>
      <c r="E55" s="50"/>
      <c r="F55" s="51"/>
      <c r="G55" s="52"/>
    </row>
    <row r="56" spans="2:7" ht="12.75">
      <c r="B56" s="43"/>
      <c r="C56" s="44"/>
      <c r="D56" s="44"/>
      <c r="E56" s="44"/>
      <c r="F56" s="44"/>
      <c r="G56" s="44"/>
    </row>
    <row r="57" spans="1:7" ht="12.75">
      <c r="A57" t="s">
        <v>219</v>
      </c>
      <c r="B57" s="54"/>
      <c r="C57" s="41"/>
      <c r="D57" s="41"/>
      <c r="E57" s="41"/>
      <c r="F57" s="41"/>
      <c r="G57" s="41"/>
    </row>
    <row r="58" spans="1:7" ht="12.75">
      <c r="A58" s="1" t="s">
        <v>211</v>
      </c>
      <c r="B58" s="47"/>
      <c r="C58" s="48"/>
      <c r="D58" s="49"/>
      <c r="E58" s="50"/>
      <c r="F58" s="51"/>
      <c r="G58" s="52"/>
    </row>
    <row r="59" spans="1:7" ht="12.75">
      <c r="A59" s="1" t="s">
        <v>212</v>
      </c>
      <c r="B59" s="147" t="e">
        <f>$B$46*0.483</f>
        <v>#DIV/0!</v>
      </c>
      <c r="C59" s="173" t="e">
        <f>$C$46*0.483</f>
        <v>#DIV/0!</v>
      </c>
      <c r="D59" s="174" t="e">
        <f>$D$46*0.483</f>
        <v>#DIV/0!</v>
      </c>
      <c r="E59" s="175" t="e">
        <f>$E$46*0.483</f>
        <v>#DIV/0!</v>
      </c>
      <c r="F59" s="170" t="e">
        <f>$F$46*0.483</f>
        <v>#DIV/0!</v>
      </c>
      <c r="G59" s="171" t="e">
        <f>$G$46*0.483</f>
        <v>#DIV/0!</v>
      </c>
    </row>
    <row r="60" spans="2:7" ht="12.75">
      <c r="B60" s="54"/>
      <c r="C60" s="39"/>
      <c r="D60" s="39"/>
      <c r="E60" s="39"/>
      <c r="F60" s="39"/>
      <c r="G60" s="39"/>
    </row>
    <row r="61" spans="1:7" ht="12.75">
      <c r="A61" s="2" t="s">
        <v>744</v>
      </c>
      <c r="B61" s="47">
        <v>15</v>
      </c>
      <c r="C61" s="48">
        <v>15</v>
      </c>
      <c r="D61" s="49">
        <v>15</v>
      </c>
      <c r="E61" s="50">
        <v>15</v>
      </c>
      <c r="F61" s="51">
        <v>15</v>
      </c>
      <c r="G61" s="52">
        <v>15</v>
      </c>
    </row>
    <row r="62" spans="1:7" ht="12.75">
      <c r="A62" s="2"/>
      <c r="B62" s="161"/>
      <c r="C62" s="70"/>
      <c r="D62" s="70"/>
      <c r="E62" s="70"/>
      <c r="F62" s="70"/>
      <c r="G62" s="70"/>
    </row>
    <row r="63" spans="1:7" ht="12.75">
      <c r="A63" s="2" t="s">
        <v>745</v>
      </c>
      <c r="B63" s="47"/>
      <c r="C63" s="48"/>
      <c r="D63" s="49"/>
      <c r="E63" s="50"/>
      <c r="F63" s="51"/>
      <c r="G63" s="52"/>
    </row>
    <row r="64" spans="1:7" ht="12.75">
      <c r="A64" s="2"/>
      <c r="B64" s="55"/>
      <c r="C64" s="39"/>
      <c r="D64" s="39"/>
      <c r="E64" s="39"/>
      <c r="F64" s="39"/>
      <c r="G64" s="39"/>
    </row>
    <row r="65" spans="1:7" ht="12.75">
      <c r="A65" t="s">
        <v>202</v>
      </c>
      <c r="B65" s="32"/>
      <c r="C65" s="56"/>
      <c r="D65" s="57"/>
      <c r="E65" s="58"/>
      <c r="F65" s="59"/>
      <c r="G65" s="60"/>
    </row>
    <row r="66" spans="1:7" ht="12.75">
      <c r="A66" s="2"/>
      <c r="B66" s="55"/>
      <c r="C66" s="44"/>
      <c r="D66" s="44"/>
      <c r="E66" s="44"/>
      <c r="F66" s="44"/>
      <c r="G66" s="61"/>
    </row>
    <row r="67" spans="1:7" ht="12.75">
      <c r="A67" t="s">
        <v>158</v>
      </c>
      <c r="B67" s="141">
        <v>0.08</v>
      </c>
      <c r="C67" s="142">
        <v>0.08</v>
      </c>
      <c r="D67" s="143">
        <v>0.08</v>
      </c>
      <c r="E67" s="144">
        <v>0.08</v>
      </c>
      <c r="F67" s="145">
        <v>0.08</v>
      </c>
      <c r="G67" s="146">
        <v>0.08</v>
      </c>
    </row>
    <row r="68" ht="12.75">
      <c r="B68" s="13"/>
    </row>
    <row r="69" ht="12.75">
      <c r="B69" s="13"/>
    </row>
    <row r="70" spans="1:7" ht="18">
      <c r="A70" s="241" t="s">
        <v>227</v>
      </c>
      <c r="B70" s="241"/>
      <c r="C70" s="243"/>
      <c r="D70" s="243"/>
      <c r="E70" s="243"/>
      <c r="F70" s="243"/>
      <c r="G70" s="243"/>
    </row>
    <row r="71" spans="2:7" s="125" customFormat="1" ht="12.75">
      <c r="B71" s="126">
        <f>$B$5</f>
        <v>2009</v>
      </c>
      <c r="C71" s="126">
        <f>$C$5</f>
        <v>2010</v>
      </c>
      <c r="D71" s="126">
        <f>$D$5</f>
        <v>0</v>
      </c>
      <c r="E71" s="126">
        <f>$E$5</f>
        <v>0</v>
      </c>
      <c r="F71" s="126" t="str">
        <f>$F$5</f>
        <v>Case 4**</v>
      </c>
      <c r="G71" s="126" t="str">
        <f>$G$5</f>
        <v>Case 5**</v>
      </c>
    </row>
    <row r="72" spans="2:7" ht="12.75">
      <c r="B72" s="14"/>
      <c r="C72" s="15"/>
      <c r="D72" s="15"/>
      <c r="E72" s="15"/>
      <c r="F72" s="15"/>
      <c r="G72" s="15"/>
    </row>
    <row r="73" spans="1:7" ht="12.75">
      <c r="A73" t="s">
        <v>228</v>
      </c>
      <c r="B73" s="17" t="e">
        <f>Benefits!$K$26+Benefits!$L$53</f>
        <v>#DIV/0!</v>
      </c>
      <c r="C73" s="19" t="e">
        <f>Benefits!$X$26+Benefits!$Y$53</f>
        <v>#DIV/0!</v>
      </c>
      <c r="D73" s="20" t="e">
        <f>Benefits!$AK$26+Benefits!$AL$53</f>
        <v>#DIV/0!</v>
      </c>
      <c r="E73" s="21" t="e">
        <f>Benefits!$AX$26+Benefits!$AY$53</f>
        <v>#DIV/0!</v>
      </c>
      <c r="F73" s="22" t="e">
        <f>Benefits!$BK$26+Benefits!$BL$53</f>
        <v>#DIV/0!</v>
      </c>
      <c r="G73" s="23" t="e">
        <f>Benefits!$BX$26+Benefits!$BY$53</f>
        <v>#DIV/0!</v>
      </c>
    </row>
    <row r="74" spans="1:7" ht="12.75">
      <c r="A74" s="1" t="s">
        <v>715</v>
      </c>
      <c r="B74" s="17" t="e">
        <f>(Benefits!$K$26+Benefits!$L$53)/$B$6</f>
        <v>#DIV/0!</v>
      </c>
      <c r="C74" s="19" t="e">
        <f>(Benefits!$X$26+Benefits!$Y$53)/$C$6</f>
        <v>#DIV/0!</v>
      </c>
      <c r="D74" s="20" t="e">
        <f>(Benefits!$AK$26+Benefits!$AL$53)/$D$6</f>
        <v>#DIV/0!</v>
      </c>
      <c r="E74" s="21" t="e">
        <f>(Benefits!$AX$26+Benefits!$AY$53)/$E$6</f>
        <v>#DIV/0!</v>
      </c>
      <c r="F74" s="22" t="e">
        <f>(Benefits!$BK$26+Benefits!$BL$53)/$F$6</f>
        <v>#DIV/0!</v>
      </c>
      <c r="G74" s="23" t="e">
        <f>(Benefits!$BX$26+Benefits!$BY$53)/$G$6</f>
        <v>#DIV/0!</v>
      </c>
    </row>
    <row r="75" ht="12.75">
      <c r="B75"/>
    </row>
    <row r="76" spans="1:7" ht="12.75">
      <c r="A76" t="s">
        <v>220</v>
      </c>
      <c r="B76" s="17">
        <f>Benefits!$F$213+Benefits!$D$270</f>
        <v>0</v>
      </c>
      <c r="C76" s="19" t="e">
        <f>Benefits!$S$213+Benefits!$Q$270</f>
        <v>#DIV/0!</v>
      </c>
      <c r="D76" s="20" t="e">
        <f>Benefits!$AF$213+Benefits!$AD$270</f>
        <v>#DIV/0!</v>
      </c>
      <c r="E76" s="21" t="e">
        <f>Benefits!$AS$213+Benefits!$AQ$270</f>
        <v>#DIV/0!</v>
      </c>
      <c r="F76" s="22" t="e">
        <f>Benefits!$BF$213+Benefits!$BD$270</f>
        <v>#DIV/0!</v>
      </c>
      <c r="G76" s="23" t="e">
        <f>Benefits!$BS$213+Benefits!$BQ$270</f>
        <v>#DIV/0!</v>
      </c>
    </row>
    <row r="77" ht="12.75">
      <c r="B77"/>
    </row>
    <row r="78" spans="1:7" ht="12.75">
      <c r="A78" t="s">
        <v>746</v>
      </c>
      <c r="B78" s="17" t="e">
        <f>Benefits!$D$80+Benefits!$D$241</f>
        <v>#DIV/0!</v>
      </c>
      <c r="C78" s="19" t="e">
        <f>Benefits!$Q$80+Benefits!$Q$241</f>
        <v>#DIV/0!</v>
      </c>
      <c r="D78" s="20" t="e">
        <f>Benefits!$AD$80+Benefits!$AD$241</f>
        <v>#DIV/0!</v>
      </c>
      <c r="E78" s="21" t="e">
        <f>Benefits!$AQ$80+Benefits!$AQ$241</f>
        <v>#DIV/0!</v>
      </c>
      <c r="F78" s="22" t="e">
        <f>Benefits!$BD$80+Benefits!$BD$241</f>
        <v>#DIV/0!</v>
      </c>
      <c r="G78" s="23" t="e">
        <f>Benefits!$BQ$80+Benefits!$BQ$241</f>
        <v>#DIV/0!</v>
      </c>
    </row>
    <row r="79" ht="12.75">
      <c r="B79"/>
    </row>
    <row r="80" spans="1:7" ht="12.75">
      <c r="A80" t="s">
        <v>186</v>
      </c>
      <c r="B80" s="17">
        <f>Benefits!J107</f>
        <v>0</v>
      </c>
      <c r="C80" s="19">
        <f>Benefits!W107</f>
        <v>0</v>
      </c>
      <c r="D80" s="20">
        <f>Benefits!AJ107</f>
        <v>0</v>
      </c>
      <c r="E80" s="21">
        <f>Benefits!AW107</f>
        <v>0</v>
      </c>
      <c r="F80" s="22">
        <f>Benefits!BJ107</f>
        <v>0</v>
      </c>
      <c r="G80" s="23">
        <f>Benefits!BW107</f>
        <v>0</v>
      </c>
    </row>
    <row r="81" spans="1:2" ht="12.75">
      <c r="A81" t="s">
        <v>150</v>
      </c>
      <c r="B81"/>
    </row>
    <row r="82" spans="1:7" ht="12.75">
      <c r="A82" s="1" t="s">
        <v>799</v>
      </c>
      <c r="B82" s="148" t="e">
        <f>Benefits!$D$133</f>
        <v>#DIV/0!</v>
      </c>
      <c r="C82" s="149" t="e">
        <f>Benefits!$Q$133</f>
        <v>#DIV/0!</v>
      </c>
      <c r="D82" s="150" t="e">
        <f>Benefits!$AD$133</f>
        <v>#DIV/0!</v>
      </c>
      <c r="E82" s="151" t="e">
        <f>Benefits!$AQ$133</f>
        <v>#DIV/0!</v>
      </c>
      <c r="F82" s="152" t="e">
        <f>Benefits!$BD$133</f>
        <v>#DIV/0!</v>
      </c>
      <c r="G82" s="153" t="e">
        <f>Benefits!$BQ$133</f>
        <v>#DIV/0!</v>
      </c>
    </row>
    <row r="83" spans="1:7" ht="12.75">
      <c r="A83" s="1" t="s">
        <v>800</v>
      </c>
      <c r="B83" s="154" t="e">
        <f>Benefits!$E$133</f>
        <v>#DIV/0!</v>
      </c>
      <c r="C83" s="155" t="e">
        <f>Benefits!$R$133</f>
        <v>#DIV/0!</v>
      </c>
      <c r="D83" s="156" t="e">
        <f>Benefits!$AE$133</f>
        <v>#DIV/0!</v>
      </c>
      <c r="E83" s="157" t="e">
        <f>Benefits!$AR$133</f>
        <v>#DIV/0!</v>
      </c>
      <c r="F83" s="158" t="e">
        <f>Benefits!$BE$133</f>
        <v>#DIV/0!</v>
      </c>
      <c r="G83" s="159" t="e">
        <f>Benefits!$BR$133</f>
        <v>#DIV/0!</v>
      </c>
    </row>
    <row r="84" spans="1:7" ht="12.75">
      <c r="A84" s="1" t="s">
        <v>801</v>
      </c>
      <c r="B84" s="154" t="e">
        <f>Benefits!$F$133</f>
        <v>#DIV/0!</v>
      </c>
      <c r="C84" s="155" t="e">
        <f>Benefits!$S$133</f>
        <v>#DIV/0!</v>
      </c>
      <c r="D84" s="156" t="e">
        <f>Benefits!$AF$133</f>
        <v>#DIV/0!</v>
      </c>
      <c r="E84" s="157" t="e">
        <f>Benefits!$AS$133</f>
        <v>#DIV/0!</v>
      </c>
      <c r="F84" s="158" t="e">
        <f>Benefits!$BF$133</f>
        <v>#DIV/0!</v>
      </c>
      <c r="G84" s="159" t="e">
        <f>Benefits!$BS$133</f>
        <v>#DIV/0!</v>
      </c>
    </row>
    <row r="85" spans="1:7" ht="12.75">
      <c r="A85" s="1" t="s">
        <v>741</v>
      </c>
      <c r="B85" s="148" t="e">
        <f>Benefits!$G$133</f>
        <v>#DIV/0!</v>
      </c>
      <c r="C85" s="149" t="e">
        <f>Benefits!$T$133</f>
        <v>#DIV/0!</v>
      </c>
      <c r="D85" s="150" t="e">
        <f>Benefits!$AG$133</f>
        <v>#DIV/0!</v>
      </c>
      <c r="E85" s="151" t="e">
        <f>Benefits!$AT$133</f>
        <v>#DIV/0!</v>
      </c>
      <c r="F85" s="152" t="e">
        <f>Benefits!$BG$133</f>
        <v>#DIV/0!</v>
      </c>
      <c r="G85" s="153" t="e">
        <f>Benefits!$BT$133</f>
        <v>#DIV/0!</v>
      </c>
    </row>
    <row r="86" ht="12.75">
      <c r="B86"/>
    </row>
    <row r="87" spans="1:7" ht="12.75">
      <c r="A87" s="24" t="s">
        <v>208</v>
      </c>
      <c r="B87" s="17" t="e">
        <f>Benefits!$E$160+Benefits!$K$26</f>
        <v>#DIV/0!</v>
      </c>
      <c r="C87" s="19" t="e">
        <f>Benefits!$R$160+Benefits!$X$26</f>
        <v>#DIV/0!</v>
      </c>
      <c r="D87" s="20" t="e">
        <f>Benefits!$AE$160+Benefits!$AK$26</f>
        <v>#DIV/0!</v>
      </c>
      <c r="E87" s="21" t="e">
        <f>Benefits!$AR$160+Benefits!$AX$26</f>
        <v>#DIV/0!</v>
      </c>
      <c r="F87" s="22" t="e">
        <f>Benefits!$BE$160+Benefits!$BK$26</f>
        <v>#DIV/0!</v>
      </c>
      <c r="G87" s="23" t="e">
        <f>Benefits!$BR$160+Benefits!$BX$26</f>
        <v>#DIV/0!</v>
      </c>
    </row>
    <row r="88" spans="1:7" ht="12.75">
      <c r="A88" s="71" t="s">
        <v>716</v>
      </c>
      <c r="B88" s="17" t="e">
        <f>(Benefits!$E$160+Benefits!$K$26)/$B$6</f>
        <v>#DIV/0!</v>
      </c>
      <c r="C88" s="19" t="e">
        <f>(Benefits!$R$160+Benefits!$X$26)/$C$6</f>
        <v>#DIV/0!</v>
      </c>
      <c r="D88" s="20" t="e">
        <f>(Benefits!$AE$160+Benefits!$AK$26)/$D$6</f>
        <v>#DIV/0!</v>
      </c>
      <c r="E88" s="21" t="e">
        <f>(Benefits!$AR$160+Benefits!$AX$26)/$E$6</f>
        <v>#DIV/0!</v>
      </c>
      <c r="F88" s="22" t="e">
        <f>(Benefits!$BE$160+Benefits!$BK$26)/$F$6</f>
        <v>#DIV/0!</v>
      </c>
      <c r="G88" s="23" t="e">
        <f>(Benefits!$BR$160+Benefits!$BX$26)/$G$6</f>
        <v>#DIV/0!</v>
      </c>
    </row>
    <row r="89" ht="12.75">
      <c r="B89"/>
    </row>
    <row r="90" spans="1:7" ht="12.75">
      <c r="A90" t="s">
        <v>213</v>
      </c>
      <c r="B90" s="17">
        <f>Benefits!$C$187</f>
        <v>0</v>
      </c>
      <c r="C90" s="19">
        <f>Benefits!$P$187</f>
        <v>0</v>
      </c>
      <c r="D90" s="20">
        <f>Benefits!$AC$187</f>
        <v>0</v>
      </c>
      <c r="E90" s="21">
        <f>Benefits!$AP$187</f>
        <v>0</v>
      </c>
      <c r="F90" s="22">
        <f>Benefits!$BC$187</f>
        <v>0</v>
      </c>
      <c r="G90" s="23">
        <f>Benefits!$BP$187</f>
        <v>0</v>
      </c>
    </row>
    <row r="91" ht="12.75">
      <c r="B91"/>
    </row>
    <row r="92" spans="1:7" ht="12.75">
      <c r="A92" s="2" t="s">
        <v>154</v>
      </c>
      <c r="B92" s="17" t="e">
        <f>Costs!$C$81</f>
        <v>#DIV/0!</v>
      </c>
      <c r="C92" s="19" t="e">
        <f>Costs!$I$81</f>
        <v>#DIV/0!</v>
      </c>
      <c r="D92" s="20" t="e">
        <f>Costs!$N$81</f>
        <v>#DIV/0!</v>
      </c>
      <c r="E92" s="21" t="e">
        <f>Costs!$S$81</f>
        <v>#DIV/0!</v>
      </c>
      <c r="F92" s="22" t="e">
        <f>Costs!$X$81</f>
        <v>#DIV/0!</v>
      </c>
      <c r="G92" s="23" t="e">
        <f>Costs!$AC$81</f>
        <v>#DIV/0!</v>
      </c>
    </row>
    <row r="93" ht="12.75">
      <c r="B93"/>
    </row>
    <row r="94" spans="1:7" ht="12.75">
      <c r="A94" t="s">
        <v>144</v>
      </c>
      <c r="B94" s="17">
        <f>Costs!$B$108</f>
        <v>0</v>
      </c>
      <c r="C94" s="19">
        <f>Costs!$H$108</f>
        <v>0</v>
      </c>
      <c r="D94" s="20">
        <f>Costs!$M$108</f>
        <v>0</v>
      </c>
      <c r="E94" s="21">
        <f>Costs!$R$108</f>
        <v>0</v>
      </c>
      <c r="F94" s="22">
        <f>Costs!$W$108</f>
        <v>0</v>
      </c>
      <c r="G94" s="23">
        <f>Costs!$AB$108</f>
        <v>0</v>
      </c>
    </row>
    <row r="95" ht="12.75">
      <c r="B95"/>
    </row>
    <row r="96" spans="1:7" ht="12.75">
      <c r="A96" t="s">
        <v>217</v>
      </c>
      <c r="B96" s="17" t="e">
        <f>Costs!$C$108</f>
        <v>#DIV/0!</v>
      </c>
      <c r="C96" s="19" t="e">
        <f>Costs!$I$108</f>
        <v>#DIV/0!</v>
      </c>
      <c r="D96" s="20" t="e">
        <f>Costs!$N$108</f>
        <v>#DIV/0!</v>
      </c>
      <c r="E96" s="21" t="e">
        <f>Costs!$S$108</f>
        <v>#DIV/0!</v>
      </c>
      <c r="F96" s="22" t="e">
        <f>Costs!$X$108</f>
        <v>#DIV/0!</v>
      </c>
      <c r="G96" s="23" t="e">
        <f>Costs!$AC$108</f>
        <v>#DIV/0!</v>
      </c>
    </row>
    <row r="97" ht="12.75">
      <c r="B97"/>
    </row>
    <row r="98" spans="1:7" ht="12.75">
      <c r="A98" t="s">
        <v>146</v>
      </c>
      <c r="B98" s="17">
        <f>Costs!$C$54</f>
        <v>0</v>
      </c>
      <c r="C98" s="19">
        <f>Costs!$I$55</f>
        <v>0</v>
      </c>
      <c r="D98" s="20">
        <f>Costs!$N$54</f>
        <v>0</v>
      </c>
      <c r="E98" s="21">
        <f>Costs!$S$54</f>
        <v>0</v>
      </c>
      <c r="F98" s="22">
        <f>Costs!$X$54</f>
        <v>0</v>
      </c>
      <c r="G98" s="23">
        <f>Costs!$AC$54</f>
        <v>0</v>
      </c>
    </row>
    <row r="99" spans="1:7" ht="12.75">
      <c r="A99" s="1" t="s">
        <v>717</v>
      </c>
      <c r="B99" s="17" t="e">
        <f>(Costs!$C$54)/$B$6</f>
        <v>#DIV/0!</v>
      </c>
      <c r="C99" s="19" t="e">
        <f>(Costs!$I$55)/$C$6</f>
        <v>#DIV/0!</v>
      </c>
      <c r="D99" s="20" t="e">
        <f>(Costs!$N$54)/$D$6</f>
        <v>#DIV/0!</v>
      </c>
      <c r="E99" s="21" t="e">
        <f>(Costs!$S$54)/$E$6</f>
        <v>#DIV/0!</v>
      </c>
      <c r="F99" s="22" t="e">
        <f>(Costs!$X$54)/$F$6</f>
        <v>#DIV/0!</v>
      </c>
      <c r="G99" s="23" t="e">
        <f>(Costs!$AC$54)/$G$6</f>
        <v>#DIV/0!</v>
      </c>
    </row>
    <row r="100" ht="12.75">
      <c r="B100"/>
    </row>
    <row r="101" spans="1:7" ht="12.75">
      <c r="A101" t="s">
        <v>713</v>
      </c>
      <c r="B101" s="17">
        <f>Costs!$C$27</f>
        <v>0</v>
      </c>
      <c r="C101" s="19">
        <f>Costs!$I$28</f>
        <v>0</v>
      </c>
      <c r="D101" s="20">
        <f>Costs!$N$27</f>
        <v>0</v>
      </c>
      <c r="E101" s="21">
        <f>Costs!$S$27</f>
        <v>0</v>
      </c>
      <c r="F101" s="22">
        <f>Costs!$X$27</f>
        <v>0</v>
      </c>
      <c r="G101" s="23">
        <f>Costs!$AC$27</f>
        <v>0</v>
      </c>
    </row>
    <row r="102" spans="1:7" ht="12.75">
      <c r="A102" s="1" t="s">
        <v>718</v>
      </c>
      <c r="B102" s="17" t="e">
        <f>(Costs!$C$27)/$B$6</f>
        <v>#DIV/0!</v>
      </c>
      <c r="C102" s="19" t="e">
        <f>(Costs!$I$28)/$C$6</f>
        <v>#DIV/0!</v>
      </c>
      <c r="D102" s="20" t="e">
        <f>(Costs!$N$27)/$D$6</f>
        <v>#DIV/0!</v>
      </c>
      <c r="E102" s="21" t="e">
        <f>(Costs!$S$27)/$E$6</f>
        <v>#DIV/0!</v>
      </c>
      <c r="F102" s="22" t="e">
        <f>(Costs!$X$27)/$F$6</f>
        <v>#DIV/0!</v>
      </c>
      <c r="G102" s="23" t="e">
        <f>(Costs!$AC$27)/$G$6</f>
        <v>#DIV/0!</v>
      </c>
    </row>
    <row r="103" spans="2:6" ht="12.75">
      <c r="B103" s="13"/>
      <c r="F103" s="16"/>
    </row>
    <row r="104" spans="1:7" ht="12.75">
      <c r="A104" s="30"/>
      <c r="B104" s="31"/>
      <c r="C104" s="30"/>
      <c r="D104" s="30"/>
      <c r="E104" s="30"/>
      <c r="F104" s="30"/>
      <c r="G104" s="30"/>
    </row>
    <row r="105" ht="12.75">
      <c r="B105" s="11"/>
    </row>
    <row r="106" spans="2:7" s="125" customFormat="1" ht="12.75">
      <c r="B106" s="126">
        <f>$B$5</f>
        <v>2009</v>
      </c>
      <c r="C106" s="126">
        <f>$C$5</f>
        <v>2010</v>
      </c>
      <c r="D106" s="126">
        <f>$D$5</f>
        <v>0</v>
      </c>
      <c r="E106" s="126">
        <f>$E$5</f>
        <v>0</v>
      </c>
      <c r="F106" s="126" t="str">
        <f>$F$5</f>
        <v>Case 4**</v>
      </c>
      <c r="G106" s="126" t="str">
        <f>$G$5</f>
        <v>Case 5**</v>
      </c>
    </row>
    <row r="107" spans="1:7" ht="15.75">
      <c r="A107" s="29" t="s">
        <v>200</v>
      </c>
      <c r="B107" s="62" t="e">
        <f>$B$87-$B$98</f>
        <v>#DIV/0!</v>
      </c>
      <c r="C107" s="63" t="e">
        <f>$C$87-$C$98</f>
        <v>#DIV/0!</v>
      </c>
      <c r="D107" s="64" t="e">
        <f>$D$87-$D$98</f>
        <v>#DIV/0!</v>
      </c>
      <c r="E107" s="65" t="e">
        <f>$E$87-$E$98</f>
        <v>#DIV/0!</v>
      </c>
      <c r="F107" s="66" t="e">
        <f>$F$87-$F$98</f>
        <v>#DIV/0!</v>
      </c>
      <c r="G107" s="67" t="e">
        <f>$G$87-$G$98</f>
        <v>#DIV/0!</v>
      </c>
    </row>
    <row r="108" spans="1:7" ht="15.75">
      <c r="A108" s="128" t="s">
        <v>714</v>
      </c>
      <c r="B108" s="131" t="e">
        <f>($B$87)/($B$98)</f>
        <v>#DIV/0!</v>
      </c>
      <c r="C108" s="132" t="e">
        <f>($C$87)/($C$98)</f>
        <v>#DIV/0!</v>
      </c>
      <c r="D108" s="133" t="e">
        <f>($D$87)/($D$98)</f>
        <v>#DIV/0!</v>
      </c>
      <c r="E108" s="134" t="e">
        <f>($E$87)/($E$98)</f>
        <v>#DIV/0!</v>
      </c>
      <c r="F108" s="129" t="e">
        <f>($F$87)/($F$98)</f>
        <v>#DIV/0!</v>
      </c>
      <c r="G108" s="130" t="e">
        <f>($G$87)/($G$98)</f>
        <v>#DIV/0!</v>
      </c>
    </row>
    <row r="109" spans="1:7" ht="15.75">
      <c r="A109" s="29"/>
      <c r="B109" s="27"/>
      <c r="C109" s="27"/>
      <c r="D109" s="27"/>
      <c r="E109" s="27"/>
      <c r="F109" s="27"/>
      <c r="G109" s="27"/>
    </row>
    <row r="110" spans="1:7" ht="15.75">
      <c r="A110" s="29" t="s">
        <v>218</v>
      </c>
      <c r="B110" s="62" t="e">
        <f>($B$73+$B$76)-($B$96+$B$101)</f>
        <v>#DIV/0!</v>
      </c>
      <c r="C110" s="63" t="e">
        <f>($C$73+$C$76)-($C$96+$C$101)</f>
        <v>#DIV/0!</v>
      </c>
      <c r="D110" s="64" t="e">
        <f>($D$73+$D$76)-($D$96+$D$101)</f>
        <v>#DIV/0!</v>
      </c>
      <c r="E110" s="65" t="e">
        <f>($E$73+$E$76)-($E$96+$E$101)</f>
        <v>#DIV/0!</v>
      </c>
      <c r="F110" s="66" t="e">
        <f>($F$73+$F$76)-($F$96+$F$101)</f>
        <v>#DIV/0!</v>
      </c>
      <c r="G110" s="67" t="e">
        <f>($G$73+$G$76)-($G$96+$G$101)</f>
        <v>#DIV/0!</v>
      </c>
    </row>
    <row r="111" spans="1:7" ht="15.75">
      <c r="A111" s="128" t="s">
        <v>714</v>
      </c>
      <c r="B111" s="131" t="e">
        <f>($B$73+$B$76)/($B$96+$B$101)</f>
        <v>#DIV/0!</v>
      </c>
      <c r="C111" s="132" t="e">
        <f>($C$73+$C$76)/($C$96+$C$101)</f>
        <v>#DIV/0!</v>
      </c>
      <c r="D111" s="133" t="e">
        <f>($D$73+$D$76)/($D$96+$D$101)</f>
        <v>#DIV/0!</v>
      </c>
      <c r="E111" s="134" t="e">
        <f>($E$73+$E$76)/($E$96+$E$101)</f>
        <v>#DIV/0!</v>
      </c>
      <c r="F111" s="129" t="e">
        <f>($F$73+$F$76)/($F$96+$F$101)</f>
        <v>#DIV/0!</v>
      </c>
      <c r="G111" s="130" t="e">
        <f>($G$73+$G$76)/($G$96+$G$101)</f>
        <v>#DIV/0!</v>
      </c>
    </row>
    <row r="112" spans="1:7" ht="15.75">
      <c r="A112" s="3"/>
      <c r="B112" s="26"/>
      <c r="C112" s="25"/>
      <c r="D112" s="25"/>
      <c r="E112" s="25"/>
      <c r="F112" s="25"/>
      <c r="G112" s="25"/>
    </row>
    <row r="113" spans="1:7" ht="15.75">
      <c r="A113" s="29" t="s">
        <v>199</v>
      </c>
      <c r="B113" s="62" t="e">
        <f>($B$73+$B$76+$B$90)-($B$92+$B$101+$B$96)</f>
        <v>#DIV/0!</v>
      </c>
      <c r="C113" s="63" t="e">
        <f>($C$73+$C$76+$C$90)-($C$92+$C$101+$C$96)</f>
        <v>#DIV/0!</v>
      </c>
      <c r="D113" s="64" t="e">
        <f>($D$73+$D$76+$D$90)-($D$92+$D$101+$D$96)</f>
        <v>#DIV/0!</v>
      </c>
      <c r="E113" s="65" t="e">
        <f>($E$73+$E$76+$E$90)-($E$92+$E$101+$E$96)</f>
        <v>#DIV/0!</v>
      </c>
      <c r="F113" s="66" t="e">
        <f>($F$73+$F$76+$F$90)-($F$92+$F$101+$F$96)</f>
        <v>#DIV/0!</v>
      </c>
      <c r="G113" s="67" t="e">
        <f>($G$73+$G$76+$G$90)-($G$92+$G$101+$G$96)</f>
        <v>#DIV/0!</v>
      </c>
    </row>
    <row r="114" spans="1:7" ht="15.75">
      <c r="A114" s="128" t="s">
        <v>714</v>
      </c>
      <c r="B114" s="131" t="e">
        <f>($B$73+$B$76+$B$90)/($B$92+$B$101+$B$96)</f>
        <v>#DIV/0!</v>
      </c>
      <c r="C114" s="132" t="e">
        <f>($C$73+$C$76+$C$90)/($C$92+$C$101+$C$96)</f>
        <v>#DIV/0!</v>
      </c>
      <c r="D114" s="133" t="e">
        <f>($D$73+$D$76+$D$90)/($D$92+$D$101+$D$96)</f>
        <v>#DIV/0!</v>
      </c>
      <c r="E114" s="134" t="e">
        <f>($E$73+$E$76+$E$90)/($E$92+$E$101+$E$96)</f>
        <v>#DIV/0!</v>
      </c>
      <c r="F114" s="129" t="e">
        <f>($F$73+$F$76+$F$90)/($F$92+$F$101+$F$96)</f>
        <v>#DIV/0!</v>
      </c>
      <c r="G114" s="130" t="e">
        <f>($G$73+$G$76+$G$90)/($G$92+$G$101+$G$96)</f>
        <v>#DIV/0!</v>
      </c>
    </row>
    <row r="115" spans="1:7" ht="15.75">
      <c r="A115" s="29"/>
      <c r="B115" s="27"/>
      <c r="C115" s="27"/>
      <c r="D115" s="27"/>
      <c r="E115" s="27"/>
      <c r="F115" s="27"/>
      <c r="G115" s="27"/>
    </row>
    <row r="116" spans="1:7" ht="15.75">
      <c r="A116" s="29" t="s">
        <v>198</v>
      </c>
      <c r="B116" s="62" t="e">
        <f>($B$73+$B$94+$B$76+$B$78)-($B$98+$B$101)</f>
        <v>#DIV/0!</v>
      </c>
      <c r="C116" s="63" t="e">
        <f>($C$73+$C$76+$C$94+$C$78)-($C$98+$C$101)</f>
        <v>#DIV/0!</v>
      </c>
      <c r="D116" s="64" t="e">
        <f>($D$73+$D$76+$D$94+$D$78)-($D$98+$D$101)</f>
        <v>#DIV/0!</v>
      </c>
      <c r="E116" s="65" t="e">
        <f>($E$73+$E$76+$E$94+$E$78)-($E$98+$E$101)</f>
        <v>#DIV/0!</v>
      </c>
      <c r="F116" s="66" t="e">
        <f>($F$73+$F$76+$F$94+$F$78)-($F$98+$F$101)</f>
        <v>#DIV/0!</v>
      </c>
      <c r="G116" s="67" t="e">
        <f>($G$73+$G$76+$G$94+$G$78)-($G$98+$G$101)</f>
        <v>#DIV/0!</v>
      </c>
    </row>
    <row r="117" spans="1:7" ht="15.75">
      <c r="A117" s="128" t="s">
        <v>714</v>
      </c>
      <c r="B117" s="131" t="e">
        <f>($B$73+$B$94+$B$76+$B$78)/($B$98+$B$101)</f>
        <v>#DIV/0!</v>
      </c>
      <c r="C117" s="132" t="e">
        <f>($C$73+$C$76+$C$94+$C$78)/($C$98+$C$101)</f>
        <v>#DIV/0!</v>
      </c>
      <c r="D117" s="133" t="e">
        <f>($D$73+$D$76+$D$94+$D$78)/($D$98+$D$101)</f>
        <v>#DIV/0!</v>
      </c>
      <c r="E117" s="134" t="e">
        <f>($E$73+$E$76+$E$94+$E$78)/($E$98+$E$101)</f>
        <v>#DIV/0!</v>
      </c>
      <c r="F117" s="129" t="e">
        <f>($F$73+$F$76+$F$94+$F$78)/($F$98+$F$101)</f>
        <v>#DIV/0!</v>
      </c>
      <c r="G117" s="130" t="e">
        <f>($G$73+$G$76+$G$94+$G$78)/($G$98+$G$101)</f>
        <v>#DIV/0!</v>
      </c>
    </row>
    <row r="118" spans="3:7" ht="12.75">
      <c r="C118" s="68"/>
      <c r="D118" s="68"/>
      <c r="E118" s="68"/>
      <c r="F118" s="68"/>
      <c r="G118" s="68"/>
    </row>
    <row r="119" spans="1:7" ht="15.75">
      <c r="A119" s="29" t="s">
        <v>201</v>
      </c>
      <c r="B119" s="62" t="e">
        <f>($B$73+$B$76+$B$78+$B$80+$B$94)-($B$98+$B$101)</f>
        <v>#DIV/0!</v>
      </c>
      <c r="C119" s="63" t="e">
        <f>($C$73+$C$76+$C$78+$C$80+$C$94)-($C$98+$C$101)</f>
        <v>#DIV/0!</v>
      </c>
      <c r="D119" s="64" t="e">
        <f>($D$73+$D$76+$D$78+$D$80+$D$94)-($D$98+$D$101)</f>
        <v>#DIV/0!</v>
      </c>
      <c r="E119" s="65" t="e">
        <f>($E$73+$E$76+$E$78+$E$80+$E$94)-($E$98+$E$101)</f>
        <v>#DIV/0!</v>
      </c>
      <c r="F119" s="66" t="e">
        <f>($F$73+$F$76+$F$78+$F$80+$F$94)-($F$98+$F$101)</f>
        <v>#DIV/0!</v>
      </c>
      <c r="G119" s="67" t="e">
        <f>($G$73+$G$76+$G$78+$G$80+$G$94)-($G$98+$G$101)</f>
        <v>#DIV/0!</v>
      </c>
    </row>
    <row r="120" spans="1:7" ht="15.75">
      <c r="A120" s="128" t="s">
        <v>714</v>
      </c>
      <c r="B120" s="131" t="e">
        <f>($B$73+$B$76+$B$78+$B$80+$B$94)/($B$98+$B$101)</f>
        <v>#DIV/0!</v>
      </c>
      <c r="C120" s="132" t="e">
        <f>($C$73+$C$76+$C$78+$C$80+$C$94)/($C$98+$C$101)</f>
        <v>#DIV/0!</v>
      </c>
      <c r="D120" s="133" t="e">
        <f>($D$73+$D$76+$D$78+$D$80+$D$94)/($D$98+$D$101)</f>
        <v>#DIV/0!</v>
      </c>
      <c r="E120" s="134" t="e">
        <f>($E$73+$E$76+$E$78+$E$80+$E$94)/($E$98+$E$101)</f>
        <v>#DIV/0!</v>
      </c>
      <c r="F120" s="129" t="e">
        <f>($F$73+$F$76+$F$78+$F$80+$F$94)/($F$98+$F$101)</f>
        <v>#DIV/0!</v>
      </c>
      <c r="G120" s="130" t="e">
        <f>($G$73+$G$76+$G$78+$G$80+$G$94)/($G$98+$G$101)</f>
        <v>#DIV/0!</v>
      </c>
    </row>
    <row r="123" ht="12.75">
      <c r="A123" s="136" t="s">
        <v>720</v>
      </c>
    </row>
    <row r="124" ht="12.75">
      <c r="A124" s="137" t="s">
        <v>721</v>
      </c>
    </row>
    <row r="125" ht="12.75">
      <c r="A125" s="137" t="s">
        <v>722</v>
      </c>
    </row>
    <row r="126" ht="12.75">
      <c r="A126" s="137" t="s">
        <v>723</v>
      </c>
    </row>
    <row r="127" ht="12.75">
      <c r="A127" s="137" t="s">
        <v>759</v>
      </c>
    </row>
    <row r="128" ht="12.75">
      <c r="A128" s="137" t="s">
        <v>760</v>
      </c>
    </row>
    <row r="134" ht="12.75">
      <c r="A134" t="s">
        <v>770</v>
      </c>
    </row>
    <row r="137" ht="12.75">
      <c r="A137" t="s">
        <v>774</v>
      </c>
    </row>
  </sheetData>
  <sheetProtection/>
  <mergeCells count="2">
    <mergeCell ref="A4:G4"/>
    <mergeCell ref="A70:G70"/>
  </mergeCells>
  <printOptions/>
  <pageMargins left="0.75" right="0.75" top="1" bottom="1" header="0.5" footer="0.5"/>
  <pageSetup fitToHeight="2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D270"/>
  <sheetViews>
    <sheetView zoomScale="85" zoomScaleNormal="85" zoomScalePageLayoutView="0" workbookViewId="0" topLeftCell="A1">
      <selection activeCell="S249" sqref="S249"/>
    </sheetView>
  </sheetViews>
  <sheetFormatPr defaultColWidth="9.140625" defaultRowHeight="12.75"/>
  <cols>
    <col min="1" max="1" width="5.140625" style="0" bestFit="1" customWidth="1"/>
    <col min="2" max="2" width="10.00390625" style="0" bestFit="1" customWidth="1"/>
    <col min="3" max="3" width="10.140625" style="0" bestFit="1" customWidth="1"/>
    <col min="4" max="4" width="12.28125" style="0" bestFit="1" customWidth="1"/>
    <col min="5" max="5" width="13.421875" style="0" bestFit="1" customWidth="1"/>
    <col min="6" max="6" width="12.28125" style="0" bestFit="1" customWidth="1"/>
    <col min="7" max="7" width="11.8515625" style="0" bestFit="1" customWidth="1"/>
    <col min="8" max="9" width="15.140625" style="0" bestFit="1" customWidth="1"/>
    <col min="10" max="10" width="12.7109375" style="0" bestFit="1" customWidth="1"/>
    <col min="11" max="11" width="18.7109375" style="0" bestFit="1" customWidth="1"/>
    <col min="12" max="12" width="16.7109375" style="0" bestFit="1" customWidth="1"/>
    <col min="13" max="13" width="20.140625" style="0" customWidth="1"/>
    <col min="14" max="14" width="5.140625" style="0" bestFit="1" customWidth="1"/>
    <col min="15" max="15" width="12.28125" style="0" bestFit="1" customWidth="1"/>
    <col min="16" max="16" width="10.00390625" style="0" bestFit="1" customWidth="1"/>
    <col min="17" max="17" width="10.140625" style="0" bestFit="1" customWidth="1"/>
    <col min="18" max="18" width="12.28125" style="0" bestFit="1" customWidth="1"/>
    <col min="19" max="19" width="11.8515625" style="0" bestFit="1" customWidth="1"/>
    <col min="20" max="20" width="8.421875" style="0" customWidth="1"/>
    <col min="21" max="21" width="10.8515625" style="0" bestFit="1" customWidth="1"/>
    <col min="22" max="22" width="15.140625" style="0" bestFit="1" customWidth="1"/>
    <col min="23" max="23" width="14.421875" style="0" bestFit="1" customWidth="1"/>
    <col min="24" max="25" width="13.8515625" style="0" bestFit="1" customWidth="1"/>
    <col min="26" max="26" width="20.140625" style="0" bestFit="1" customWidth="1"/>
    <col min="27" max="27" width="5.140625" style="0" bestFit="1" customWidth="1"/>
    <col min="28" max="28" width="12.7109375" style="0" bestFit="1" customWidth="1"/>
    <col min="29" max="29" width="10.00390625" style="0" bestFit="1" customWidth="1"/>
    <col min="30" max="31" width="11.7109375" style="0" bestFit="1" customWidth="1"/>
    <col min="32" max="32" width="12.28125" style="0" bestFit="1" customWidth="1"/>
    <col min="33" max="33" width="11.8515625" style="0" bestFit="1" customWidth="1"/>
    <col min="34" max="34" width="9.00390625" style="0" bestFit="1" customWidth="1"/>
    <col min="35" max="35" width="10.7109375" style="0" bestFit="1" customWidth="1"/>
    <col min="36" max="36" width="14.421875" style="0" bestFit="1" customWidth="1"/>
    <col min="37" max="38" width="16.7109375" style="0" bestFit="1" customWidth="1"/>
    <col min="39" max="39" width="14.57421875" style="0" bestFit="1" customWidth="1"/>
    <col min="40" max="40" width="5.140625" style="0" bestFit="1" customWidth="1"/>
    <col min="41" max="41" width="13.57421875" style="0" bestFit="1" customWidth="1"/>
    <col min="42" max="42" width="10.00390625" style="0" bestFit="1" customWidth="1"/>
    <col min="43" max="43" width="10.421875" style="0" bestFit="1" customWidth="1"/>
    <col min="44" max="46" width="11.7109375" style="0" bestFit="1" customWidth="1"/>
    <col min="47" max="47" width="10.8515625" style="0" bestFit="1" customWidth="1"/>
    <col min="48" max="48" width="9.00390625" style="0" bestFit="1" customWidth="1"/>
    <col min="49" max="49" width="12.7109375" style="0" bestFit="1" customWidth="1"/>
    <col min="50" max="50" width="13.8515625" style="0" bestFit="1" customWidth="1"/>
    <col min="51" max="51" width="16.7109375" style="0" customWidth="1"/>
    <col min="52" max="52" width="10.00390625" style="0" bestFit="1" customWidth="1"/>
    <col min="53" max="53" width="5.140625" style="0" bestFit="1" customWidth="1"/>
    <col min="54" max="54" width="13.57421875" style="0" bestFit="1" customWidth="1"/>
    <col min="55" max="55" width="14.7109375" style="0" bestFit="1" customWidth="1"/>
    <col min="56" max="56" width="15.57421875" style="0" bestFit="1" customWidth="1"/>
    <col min="57" max="57" width="12.57421875" style="0" bestFit="1" customWidth="1"/>
    <col min="58" max="58" width="11.7109375" style="0" bestFit="1" customWidth="1"/>
    <col min="59" max="60" width="10.8515625" style="0" bestFit="1" customWidth="1"/>
    <col min="61" max="61" width="10.7109375" style="0" bestFit="1" customWidth="1"/>
    <col min="62" max="62" width="12.7109375" style="0" bestFit="1" customWidth="1"/>
    <col min="63" max="63" width="13.8515625" style="0" bestFit="1" customWidth="1"/>
    <col min="64" max="64" width="16.7109375" style="0" bestFit="1" customWidth="1"/>
    <col min="65" max="65" width="12.7109375" style="0" bestFit="1" customWidth="1"/>
    <col min="66" max="66" width="5.140625" style="0" bestFit="1" customWidth="1"/>
    <col min="67" max="67" width="12.28125" style="0" bestFit="1" customWidth="1"/>
    <col min="68" max="68" width="15.140625" style="0" bestFit="1" customWidth="1"/>
    <col min="69" max="69" width="16.57421875" style="0" bestFit="1" customWidth="1"/>
    <col min="70" max="70" width="10.00390625" style="0" bestFit="1" customWidth="1"/>
    <col min="71" max="71" width="11.57421875" style="0" bestFit="1" customWidth="1"/>
    <col min="72" max="72" width="11.7109375" style="0" bestFit="1" customWidth="1"/>
    <col min="73" max="73" width="10.421875" style="0" bestFit="1" customWidth="1"/>
    <col min="74" max="74" width="10.7109375" style="0" bestFit="1" customWidth="1"/>
    <col min="75" max="75" width="11.57421875" style="0" bestFit="1" customWidth="1"/>
    <col min="76" max="76" width="13.8515625" style="0" bestFit="1" customWidth="1"/>
    <col min="77" max="77" width="14.57421875" style="0" bestFit="1" customWidth="1"/>
    <col min="78" max="78" width="15.140625" style="0" bestFit="1" customWidth="1"/>
    <col min="79" max="79" width="12.7109375" style="0" bestFit="1" customWidth="1"/>
    <col min="80" max="80" width="10.00390625" style="0" bestFit="1" customWidth="1"/>
    <col min="81" max="81" width="14.57421875" style="0" bestFit="1" customWidth="1"/>
    <col min="82" max="82" width="20.140625" style="0" bestFit="1" customWidth="1"/>
    <col min="83" max="83" width="13.8515625" style="0" customWidth="1"/>
  </cols>
  <sheetData>
    <row r="1" spans="1:82" ht="23.25">
      <c r="A1" s="247">
        <f>'Summary Sheet'!$B$5</f>
        <v>2009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8"/>
      <c r="N1" s="244">
        <f>'Summary Sheet'!$C$5</f>
        <v>2010</v>
      </c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18"/>
      <c r="AA1" s="244">
        <f>'Summary Sheet'!$D$5</f>
        <v>0</v>
      </c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18"/>
      <c r="AN1" s="244">
        <f>'Summary Sheet'!$E$5</f>
        <v>0</v>
      </c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18"/>
      <c r="BA1" s="244" t="str">
        <f>'Summary Sheet'!$F$5</f>
        <v>Case 4**</v>
      </c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18"/>
      <c r="BN1" s="244" t="str">
        <f>'Summary Sheet'!$G$5</f>
        <v>Case 5**</v>
      </c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18"/>
      <c r="CA1" s="18"/>
      <c r="CB1" s="18"/>
      <c r="CC1" s="18"/>
      <c r="CD1" s="18"/>
    </row>
    <row r="2" spans="1:79" ht="12.75">
      <c r="A2" s="246" t="s">
        <v>175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12"/>
      <c r="N2" s="246" t="s">
        <v>175</v>
      </c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6"/>
      <c r="AA2" s="246" t="s">
        <v>175</v>
      </c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12"/>
      <c r="AM2" s="6"/>
      <c r="AN2" s="246" t="s">
        <v>175</v>
      </c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12"/>
      <c r="AZ2" s="6"/>
      <c r="BA2" s="246" t="s">
        <v>175</v>
      </c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12"/>
      <c r="BM2" s="6"/>
      <c r="BN2" s="246" t="s">
        <v>175</v>
      </c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12"/>
      <c r="BZ2" s="6"/>
      <c r="CA2" s="6"/>
    </row>
    <row r="3" spans="1:76" ht="39" customHeight="1">
      <c r="A3" s="7" t="s">
        <v>159</v>
      </c>
      <c r="B3" s="7" t="s">
        <v>160</v>
      </c>
      <c r="C3" s="7" t="s">
        <v>161</v>
      </c>
      <c r="D3" s="7" t="s">
        <v>162</v>
      </c>
      <c r="E3" s="7" t="s">
        <v>163</v>
      </c>
      <c r="F3" s="7" t="s">
        <v>166</v>
      </c>
      <c r="G3" s="7" t="s">
        <v>165</v>
      </c>
      <c r="H3" s="7" t="s">
        <v>167</v>
      </c>
      <c r="I3" s="7" t="s">
        <v>168</v>
      </c>
      <c r="J3" s="7" t="s">
        <v>164</v>
      </c>
      <c r="K3" s="7" t="s">
        <v>169</v>
      </c>
      <c r="N3" s="7" t="s">
        <v>159</v>
      </c>
      <c r="O3" s="7" t="s">
        <v>160</v>
      </c>
      <c r="P3" s="7" t="s">
        <v>161</v>
      </c>
      <c r="Q3" s="7" t="s">
        <v>162</v>
      </c>
      <c r="R3" s="7" t="s">
        <v>163</v>
      </c>
      <c r="S3" s="7" t="s">
        <v>166</v>
      </c>
      <c r="T3" s="7" t="s">
        <v>165</v>
      </c>
      <c r="U3" s="7" t="s">
        <v>167</v>
      </c>
      <c r="V3" s="7" t="s">
        <v>168</v>
      </c>
      <c r="W3" s="7" t="s">
        <v>164</v>
      </c>
      <c r="X3" s="7" t="s">
        <v>169</v>
      </c>
      <c r="AA3" s="7" t="s">
        <v>159</v>
      </c>
      <c r="AB3" s="7" t="s">
        <v>160</v>
      </c>
      <c r="AC3" s="7" t="s">
        <v>161</v>
      </c>
      <c r="AD3" s="7" t="s">
        <v>162</v>
      </c>
      <c r="AE3" s="7" t="s">
        <v>163</v>
      </c>
      <c r="AF3" s="7" t="s">
        <v>166</v>
      </c>
      <c r="AG3" s="7" t="s">
        <v>165</v>
      </c>
      <c r="AH3" s="7" t="s">
        <v>167</v>
      </c>
      <c r="AI3" s="7" t="s">
        <v>168</v>
      </c>
      <c r="AJ3" s="7" t="s">
        <v>164</v>
      </c>
      <c r="AK3" s="7" t="s">
        <v>169</v>
      </c>
      <c r="AN3" s="7" t="s">
        <v>159</v>
      </c>
      <c r="AO3" s="7" t="s">
        <v>160</v>
      </c>
      <c r="AP3" s="7" t="s">
        <v>161</v>
      </c>
      <c r="AQ3" s="7" t="s">
        <v>162</v>
      </c>
      <c r="AR3" s="7" t="s">
        <v>163</v>
      </c>
      <c r="AS3" s="7" t="s">
        <v>166</v>
      </c>
      <c r="AT3" s="7" t="s">
        <v>165</v>
      </c>
      <c r="AU3" s="7" t="s">
        <v>167</v>
      </c>
      <c r="AV3" s="7" t="s">
        <v>168</v>
      </c>
      <c r="AW3" s="7" t="s">
        <v>164</v>
      </c>
      <c r="AX3" s="7" t="s">
        <v>169</v>
      </c>
      <c r="BA3" s="7" t="s">
        <v>159</v>
      </c>
      <c r="BB3" s="7" t="s">
        <v>160</v>
      </c>
      <c r="BC3" s="7" t="s">
        <v>161</v>
      </c>
      <c r="BD3" s="7" t="s">
        <v>162</v>
      </c>
      <c r="BE3" s="7" t="s">
        <v>163</v>
      </c>
      <c r="BF3" s="7" t="s">
        <v>166</v>
      </c>
      <c r="BG3" s="7" t="s">
        <v>165</v>
      </c>
      <c r="BH3" s="7" t="s">
        <v>167</v>
      </c>
      <c r="BI3" s="7" t="s">
        <v>168</v>
      </c>
      <c r="BJ3" s="7" t="s">
        <v>164</v>
      </c>
      <c r="BK3" s="7" t="s">
        <v>169</v>
      </c>
      <c r="BN3" s="7" t="s">
        <v>159</v>
      </c>
      <c r="BO3" s="7" t="s">
        <v>160</v>
      </c>
      <c r="BP3" s="7" t="s">
        <v>161</v>
      </c>
      <c r="BQ3" s="7" t="s">
        <v>162</v>
      </c>
      <c r="BR3" s="7" t="s">
        <v>163</v>
      </c>
      <c r="BS3" s="7" t="s">
        <v>166</v>
      </c>
      <c r="BT3" s="7" t="s">
        <v>165</v>
      </c>
      <c r="BU3" s="7" t="s">
        <v>167</v>
      </c>
      <c r="BV3" s="7" t="s">
        <v>168</v>
      </c>
      <c r="BW3" s="7" t="s">
        <v>164</v>
      </c>
      <c r="BX3" s="7" t="s">
        <v>169</v>
      </c>
    </row>
    <row r="4" spans="1:76" ht="12.75">
      <c r="A4">
        <v>2009</v>
      </c>
      <c r="B4" s="68">
        <f>'E- &amp; NG Prices'!B55</f>
        <v>12.266896459747818</v>
      </c>
      <c r="C4" s="68">
        <f>'E- &amp; NG Prices'!C55</f>
        <v>14.143096508244422</v>
      </c>
      <c r="D4" s="68">
        <f>'E- &amp; NG Prices'!D55</f>
        <v>12.331656159068865</v>
      </c>
      <c r="E4" s="68">
        <f>'E- &amp; NG Prices'!E55</f>
        <v>10.325936711930163</v>
      </c>
      <c r="F4" s="4"/>
      <c r="G4" s="4"/>
      <c r="H4" s="68">
        <f>'Summary Sheet'!$B$30</f>
        <v>0</v>
      </c>
      <c r="I4" s="68">
        <f>'Summary Sheet'!$B$31</f>
        <v>0</v>
      </c>
      <c r="J4" s="10" t="e">
        <f>'Summary Sheet'!$B$26-'Summary Sheet'!$B$27</f>
        <v>#DIV/0!</v>
      </c>
      <c r="K4" t="e">
        <f>(C4*H4*J4*'Summary Sheet'!$B$6)+(C4*I4*J4*'Summary Sheet'!$B$6)</f>
        <v>#DIV/0!</v>
      </c>
      <c r="N4">
        <v>2009</v>
      </c>
      <c r="O4" s="68">
        <v>0</v>
      </c>
      <c r="P4" s="68">
        <v>0</v>
      </c>
      <c r="Q4" s="68">
        <v>0</v>
      </c>
      <c r="R4" s="68">
        <v>0</v>
      </c>
      <c r="S4" s="5">
        <v>0</v>
      </c>
      <c r="T4" s="5">
        <v>0</v>
      </c>
      <c r="U4" s="68">
        <v>0</v>
      </c>
      <c r="V4" s="68">
        <v>0</v>
      </c>
      <c r="W4" s="10">
        <v>0</v>
      </c>
      <c r="X4">
        <v>0</v>
      </c>
      <c r="AA4">
        <v>2009</v>
      </c>
      <c r="AB4" s="68">
        <f>'E- &amp; NG Prices'!R55</f>
        <v>12.266896459747818</v>
      </c>
      <c r="AC4" s="68">
        <f>'E- &amp; NG Prices'!S55</f>
        <v>14.143096508244422</v>
      </c>
      <c r="AD4" s="68">
        <f>'E- &amp; NG Prices'!T55</f>
        <v>12.331656159068865</v>
      </c>
      <c r="AE4" s="68">
        <f>'E- &amp; NG Prices'!U55</f>
        <v>10.325936711930163</v>
      </c>
      <c r="AF4" s="4"/>
      <c r="AG4" s="4"/>
      <c r="AH4" s="68">
        <f>'Summary Sheet'!$D$30</f>
        <v>0</v>
      </c>
      <c r="AI4" s="68">
        <f>'Summary Sheet'!$D$31</f>
        <v>0</v>
      </c>
      <c r="AJ4" s="10" t="e">
        <f>'Summary Sheet'!$D$26-'Summary Sheet'!$D$27</f>
        <v>#DIV/0!</v>
      </c>
      <c r="AK4" t="e">
        <f>(AC4*AH4*AJ4*'Summary Sheet'!$D$6)+(AC4*AI4*AJ4*'Summary Sheet'!$D$6)</f>
        <v>#DIV/0!</v>
      </c>
      <c r="AN4">
        <v>2009</v>
      </c>
      <c r="AO4" s="68">
        <f>'E- &amp; NG Prices'!AA55</f>
        <v>12.266896459747818</v>
      </c>
      <c r="AP4" s="68">
        <f>'E- &amp; NG Prices'!AB55</f>
        <v>14.143096508244422</v>
      </c>
      <c r="AQ4" s="68">
        <f>'E- &amp; NG Prices'!AC55</f>
        <v>12.331656159068865</v>
      </c>
      <c r="AR4" s="68">
        <f>'E- &amp; NG Prices'!AD55</f>
        <v>10.325936711930163</v>
      </c>
      <c r="AS4" s="4"/>
      <c r="AT4" s="4"/>
      <c r="AU4" s="68">
        <f>'Summary Sheet'!$E$30</f>
        <v>0</v>
      </c>
      <c r="AV4" s="68">
        <f>'Summary Sheet'!$E$31</f>
        <v>0</v>
      </c>
      <c r="AW4" s="10" t="e">
        <f>'Summary Sheet'!$E$26-'Summary Sheet'!$E$27</f>
        <v>#DIV/0!</v>
      </c>
      <c r="AX4" t="e">
        <f>(AP4*AU4*AW4*'Summary Sheet'!$E$6)+(AP4*AV4*AW4*'Summary Sheet'!$E$6)</f>
        <v>#DIV/0!</v>
      </c>
      <c r="BA4">
        <v>2009</v>
      </c>
      <c r="BB4" s="68">
        <f>'E- &amp; NG Prices'!B55</f>
        <v>12.266896459747818</v>
      </c>
      <c r="BC4" s="68">
        <f>'E- &amp; NG Prices'!C55</f>
        <v>14.143096508244422</v>
      </c>
      <c r="BD4" s="68">
        <f>'E- &amp; NG Prices'!D55</f>
        <v>12.331656159068865</v>
      </c>
      <c r="BE4" s="68">
        <f>'E- &amp; NG Prices'!E55</f>
        <v>10.325936711930163</v>
      </c>
      <c r="BF4" s="4"/>
      <c r="BG4" s="4"/>
      <c r="BH4" s="68">
        <f>'Summary Sheet'!$F$30</f>
        <v>0</v>
      </c>
      <c r="BI4" s="68">
        <f>'Summary Sheet'!$F$31</f>
        <v>0</v>
      </c>
      <c r="BJ4" s="10" t="e">
        <f>'Summary Sheet'!$F$26-'Summary Sheet'!$F$27</f>
        <v>#DIV/0!</v>
      </c>
      <c r="BK4" t="e">
        <f>(BC4*BH4*BJ4*'Summary Sheet'!$F$6)+(BC4*BI4*BJ4*'Summary Sheet'!$F$6)</f>
        <v>#DIV/0!</v>
      </c>
      <c r="BN4">
        <v>2009</v>
      </c>
      <c r="BO4" s="68">
        <f>'E- &amp; NG Prices'!B55</f>
        <v>12.266896459747818</v>
      </c>
      <c r="BP4" s="68">
        <f>'E- &amp; NG Prices'!C55</f>
        <v>14.143096508244422</v>
      </c>
      <c r="BQ4" s="68">
        <f>'E- &amp; NG Prices'!D55</f>
        <v>12.331656159068865</v>
      </c>
      <c r="BR4" s="68">
        <f>'E- &amp; NG Prices'!E55</f>
        <v>10.325936711930163</v>
      </c>
      <c r="BS4" s="4"/>
      <c r="BT4" s="4"/>
      <c r="BU4" s="68">
        <f>'Summary Sheet'!$G$30</f>
        <v>0</v>
      </c>
      <c r="BV4" s="68">
        <f>'Summary Sheet'!$G$31</f>
        <v>0</v>
      </c>
      <c r="BW4" s="10" t="e">
        <f>'Summary Sheet'!$G$26-'Summary Sheet'!$G$27</f>
        <v>#DIV/0!</v>
      </c>
      <c r="BX4" t="e">
        <f>(BP4*BU4*BW4*'Summary Sheet'!$G$6)+(BP4*BV4*BW4*'Summary Sheet'!$G$6)</f>
        <v>#DIV/0!</v>
      </c>
    </row>
    <row r="5" spans="1:76" ht="12.75">
      <c r="A5">
        <v>2010</v>
      </c>
      <c r="B5" s="68">
        <f>'E- &amp; NG Prices'!B56</f>
        <v>11.956443905593275</v>
      </c>
      <c r="C5" s="68">
        <f>'E- &amp; NG Prices'!C56</f>
        <v>14.39769398642095</v>
      </c>
      <c r="D5" s="68">
        <f>'E- &amp; NG Prices'!D56</f>
        <v>11.707184772065956</v>
      </c>
      <c r="E5" s="68">
        <f>'E- &amp; NG Prices'!E56</f>
        <v>9.764452958292921</v>
      </c>
      <c r="F5" s="5"/>
      <c r="G5" s="5"/>
      <c r="H5" s="68">
        <f>'Summary Sheet'!$B$30</f>
        <v>0</v>
      </c>
      <c r="I5" s="68">
        <f>'Summary Sheet'!$B$31</f>
        <v>0</v>
      </c>
      <c r="J5" s="10" t="e">
        <f>'Summary Sheet'!$B$26-'Summary Sheet'!$B$27</f>
        <v>#DIV/0!</v>
      </c>
      <c r="K5" t="e">
        <f>(C5*H5*J5*'Summary Sheet'!$B$6)+(C5*I5*J5*'Summary Sheet'!$B$6)</f>
        <v>#DIV/0!</v>
      </c>
      <c r="N5">
        <v>2010</v>
      </c>
      <c r="O5" s="68">
        <f>'E- &amp; NG Prices'!J56</f>
        <v>11.956443905593275</v>
      </c>
      <c r="P5" s="68">
        <f>'E- &amp; NG Prices'!K56</f>
        <v>14.39769398642095</v>
      </c>
      <c r="Q5" s="68">
        <f>'E- &amp; NG Prices'!L56</f>
        <v>11.707184772065956</v>
      </c>
      <c r="R5" s="68">
        <f>'E- &amp; NG Prices'!M56</f>
        <v>9.764452958292921</v>
      </c>
      <c r="S5" s="5"/>
      <c r="T5" s="5"/>
      <c r="U5" s="68">
        <f>'Summary Sheet'!$C$30</f>
        <v>0</v>
      </c>
      <c r="V5" s="68">
        <f>'Summary Sheet'!$C$31</f>
        <v>0</v>
      </c>
      <c r="W5" s="10" t="e">
        <f>'Summary Sheet'!$C$26-'Summary Sheet'!$C$27</f>
        <v>#DIV/0!</v>
      </c>
      <c r="X5" t="e">
        <f>(P5*U5*W5*'Summary Sheet'!$C$6)+(P5*V5*W5*'Summary Sheet'!$C$6)</f>
        <v>#DIV/0!</v>
      </c>
      <c r="AA5">
        <v>2010</v>
      </c>
      <c r="AB5" s="68">
        <f>'E- &amp; NG Prices'!R56</f>
        <v>11.956443905593275</v>
      </c>
      <c r="AC5" s="68">
        <f>'E- &amp; NG Prices'!S56</f>
        <v>14.39769398642095</v>
      </c>
      <c r="AD5" s="68">
        <f>'E- &amp; NG Prices'!T56</f>
        <v>11.707184772065956</v>
      </c>
      <c r="AE5" s="68">
        <f>'E- &amp; NG Prices'!U56</f>
        <v>9.764452958292921</v>
      </c>
      <c r="AF5" s="5"/>
      <c r="AG5" s="5"/>
      <c r="AH5" s="68">
        <f>'Summary Sheet'!$D$30</f>
        <v>0</v>
      </c>
      <c r="AI5" s="68">
        <f>'Summary Sheet'!$D$31</f>
        <v>0</v>
      </c>
      <c r="AJ5" s="10" t="e">
        <f>'Summary Sheet'!$D$26-'Summary Sheet'!$D$27</f>
        <v>#DIV/0!</v>
      </c>
      <c r="AK5" t="e">
        <f>(AC5*AH5*AJ5*'Summary Sheet'!$D$6)+(AC5*AI5*AJ5*'Summary Sheet'!$D$6)</f>
        <v>#DIV/0!</v>
      </c>
      <c r="AN5">
        <v>2010</v>
      </c>
      <c r="AO5" s="68">
        <f>'E- &amp; NG Prices'!AA56</f>
        <v>11.956443905593275</v>
      </c>
      <c r="AP5" s="68">
        <f>'E- &amp; NG Prices'!AB56</f>
        <v>14.39769398642095</v>
      </c>
      <c r="AQ5" s="68">
        <f>'E- &amp; NG Prices'!AC56</f>
        <v>11.707184772065956</v>
      </c>
      <c r="AR5" s="68">
        <f>'E- &amp; NG Prices'!AD56</f>
        <v>9.764452958292921</v>
      </c>
      <c r="AS5" s="5"/>
      <c r="AT5" s="5"/>
      <c r="AU5" s="68">
        <f>'Summary Sheet'!$E$30</f>
        <v>0</v>
      </c>
      <c r="AV5" s="68">
        <f>'Summary Sheet'!$E$31</f>
        <v>0</v>
      </c>
      <c r="AW5" s="10" t="e">
        <f>'Summary Sheet'!$E$26-'Summary Sheet'!$E$27</f>
        <v>#DIV/0!</v>
      </c>
      <c r="AX5" t="e">
        <f>(AP5*AU5*AW5*'Summary Sheet'!$E$6)+(AP5*AV5*AW5*'Summary Sheet'!$E$6)</f>
        <v>#DIV/0!</v>
      </c>
      <c r="BA5">
        <v>2010</v>
      </c>
      <c r="BB5" s="68">
        <f>'E- &amp; NG Prices'!B56</f>
        <v>11.956443905593275</v>
      </c>
      <c r="BC5" s="68">
        <f>'E- &amp; NG Prices'!C56</f>
        <v>14.39769398642095</v>
      </c>
      <c r="BD5" s="68">
        <f>'E- &amp; NG Prices'!D56</f>
        <v>11.707184772065956</v>
      </c>
      <c r="BE5" s="68">
        <f>'E- &amp; NG Prices'!E56</f>
        <v>9.764452958292921</v>
      </c>
      <c r="BF5" s="5"/>
      <c r="BG5" s="5"/>
      <c r="BH5" s="68">
        <f>'Summary Sheet'!$F$30</f>
        <v>0</v>
      </c>
      <c r="BI5" s="68">
        <f>'Summary Sheet'!$F$31</f>
        <v>0</v>
      </c>
      <c r="BJ5" s="10" t="e">
        <f>'Summary Sheet'!$F$26-'Summary Sheet'!$F$27</f>
        <v>#DIV/0!</v>
      </c>
      <c r="BK5" t="e">
        <f>(BC5*BH5*BJ5*'Summary Sheet'!$F$6)+(BC5*BI5*BJ5*'Summary Sheet'!$F$6)</f>
        <v>#DIV/0!</v>
      </c>
      <c r="BN5">
        <v>2010</v>
      </c>
      <c r="BO5" s="68">
        <f>'E- &amp; NG Prices'!B56</f>
        <v>11.956443905593275</v>
      </c>
      <c r="BP5" s="68">
        <f>'E- &amp; NG Prices'!C56</f>
        <v>14.39769398642095</v>
      </c>
      <c r="BQ5" s="68">
        <f>'E- &amp; NG Prices'!D56</f>
        <v>11.707184772065956</v>
      </c>
      <c r="BR5" s="68">
        <f>'E- &amp; NG Prices'!E56</f>
        <v>9.764452958292921</v>
      </c>
      <c r="BS5" s="5"/>
      <c r="BT5" s="5"/>
      <c r="BU5" s="68">
        <f>'Summary Sheet'!$G$30</f>
        <v>0</v>
      </c>
      <c r="BV5" s="68">
        <f>'Summary Sheet'!$G$31</f>
        <v>0</v>
      </c>
      <c r="BW5" s="10" t="e">
        <f>'Summary Sheet'!$G$26-'Summary Sheet'!$G$27</f>
        <v>#DIV/0!</v>
      </c>
      <c r="BX5" t="e">
        <f>(BP5*BU5*BW5*'Summary Sheet'!$G$6)+(BP5*BV5*BW5*'Summary Sheet'!$G$6)</f>
        <v>#DIV/0!</v>
      </c>
    </row>
    <row r="6" spans="1:76" ht="12.75">
      <c r="A6">
        <v>2011</v>
      </c>
      <c r="B6" s="68">
        <f>'E- &amp; NG Prices'!B57</f>
        <v>12.941310216618172</v>
      </c>
      <c r="C6" s="68">
        <f>'E- &amp; NG Prices'!C57</f>
        <v>15.67105480116392</v>
      </c>
      <c r="D6" s="68">
        <f>'E- &amp; NG Prices'!D57</f>
        <v>12.592453928225025</v>
      </c>
      <c r="E6" s="68">
        <f>'E- &amp; NG Prices'!E57</f>
        <v>10.560421920465568</v>
      </c>
      <c r="F6" s="5"/>
      <c r="G6" s="5"/>
      <c r="H6" s="68">
        <f>'Summary Sheet'!$B$30</f>
        <v>0</v>
      </c>
      <c r="I6" s="68">
        <f>'Summary Sheet'!$B$31</f>
        <v>0</v>
      </c>
      <c r="J6" s="10" t="e">
        <f>'Summary Sheet'!$B$26-'Summary Sheet'!$B$27</f>
        <v>#DIV/0!</v>
      </c>
      <c r="K6" t="e">
        <f>(C6*H6*J6*'Summary Sheet'!$B$6)+(C6*I6*J6*'Summary Sheet'!$B$6)</f>
        <v>#DIV/0!</v>
      </c>
      <c r="N6">
        <v>2011</v>
      </c>
      <c r="O6" s="68">
        <f>'E- &amp; NG Prices'!J57</f>
        <v>12.941310216618172</v>
      </c>
      <c r="P6" s="68">
        <f>'E- &amp; NG Prices'!K57</f>
        <v>15.67105480116392</v>
      </c>
      <c r="Q6" s="68">
        <f>'E- &amp; NG Prices'!L57</f>
        <v>12.592453928225025</v>
      </c>
      <c r="R6" s="68">
        <f>'E- &amp; NG Prices'!M57</f>
        <v>10.560421920465568</v>
      </c>
      <c r="S6" s="5"/>
      <c r="T6" s="5"/>
      <c r="U6" s="68">
        <f>'Summary Sheet'!$C$30</f>
        <v>0</v>
      </c>
      <c r="V6" s="68">
        <f>'Summary Sheet'!$C$31</f>
        <v>0</v>
      </c>
      <c r="W6" s="10" t="e">
        <f>'Summary Sheet'!$C$26-'Summary Sheet'!$C$27</f>
        <v>#DIV/0!</v>
      </c>
      <c r="X6" t="e">
        <f>(P6*U6*W6*'Summary Sheet'!$C$6)+(P6*V6*W6*'Summary Sheet'!$C$6)</f>
        <v>#DIV/0!</v>
      </c>
      <c r="AA6">
        <v>2011</v>
      </c>
      <c r="AB6" s="68">
        <f>'E- &amp; NG Prices'!R57</f>
        <v>12.941310216618172</v>
      </c>
      <c r="AC6" s="68">
        <f>'E- &amp; NG Prices'!S57</f>
        <v>15.67105480116392</v>
      </c>
      <c r="AD6" s="68">
        <f>'E- &amp; NG Prices'!T57</f>
        <v>12.592453928225025</v>
      </c>
      <c r="AE6" s="68">
        <f>'E- &amp; NG Prices'!U57</f>
        <v>10.560421920465568</v>
      </c>
      <c r="AF6" s="5"/>
      <c r="AG6" s="5"/>
      <c r="AH6" s="68">
        <f>'Summary Sheet'!$D$30</f>
        <v>0</v>
      </c>
      <c r="AI6" s="68">
        <f>'Summary Sheet'!$D$31</f>
        <v>0</v>
      </c>
      <c r="AJ6" s="10" t="e">
        <f>'Summary Sheet'!$D$26-'Summary Sheet'!$D$27</f>
        <v>#DIV/0!</v>
      </c>
      <c r="AK6" t="e">
        <f>(AC6*AH6*AJ6*'Summary Sheet'!$D$6)+(AC6*AI6*AJ6*'Summary Sheet'!$D$6)</f>
        <v>#DIV/0!</v>
      </c>
      <c r="AN6">
        <v>2011</v>
      </c>
      <c r="AO6" s="68">
        <f>'E- &amp; NG Prices'!AA57</f>
        <v>12.941310216618172</v>
      </c>
      <c r="AP6" s="68">
        <f>'E- &amp; NG Prices'!AB57</f>
        <v>15.67105480116392</v>
      </c>
      <c r="AQ6" s="68">
        <f>'E- &amp; NG Prices'!AC57</f>
        <v>12.592453928225025</v>
      </c>
      <c r="AR6" s="68">
        <f>'E- &amp; NG Prices'!AD57</f>
        <v>10.560421920465568</v>
      </c>
      <c r="AS6" s="5"/>
      <c r="AT6" s="5"/>
      <c r="AU6" s="68">
        <f>'Summary Sheet'!$E$30</f>
        <v>0</v>
      </c>
      <c r="AV6" s="68">
        <f>'Summary Sheet'!$E$31</f>
        <v>0</v>
      </c>
      <c r="AW6" s="10" t="e">
        <f>'Summary Sheet'!$E$26-'Summary Sheet'!$E$27</f>
        <v>#DIV/0!</v>
      </c>
      <c r="AX6" t="e">
        <f>(AP6*AU6*AW6*'Summary Sheet'!$E$6)+(AP6*AV6*AW6*'Summary Sheet'!$E$6)</f>
        <v>#DIV/0!</v>
      </c>
      <c r="BA6">
        <v>2011</v>
      </c>
      <c r="BB6" s="68">
        <f>'E- &amp; NG Prices'!B57</f>
        <v>12.941310216618172</v>
      </c>
      <c r="BC6" s="68">
        <f>'E- &amp; NG Prices'!C57</f>
        <v>15.67105480116392</v>
      </c>
      <c r="BD6" s="68">
        <f>'E- &amp; NG Prices'!D57</f>
        <v>12.592453928225025</v>
      </c>
      <c r="BE6" s="68">
        <f>'E- &amp; NG Prices'!E57</f>
        <v>10.560421920465568</v>
      </c>
      <c r="BF6" s="5"/>
      <c r="BG6" s="5"/>
      <c r="BH6" s="68">
        <f>'Summary Sheet'!$F$30</f>
        <v>0</v>
      </c>
      <c r="BI6" s="68">
        <f>'Summary Sheet'!$F$31</f>
        <v>0</v>
      </c>
      <c r="BJ6" s="10" t="e">
        <f>'Summary Sheet'!$F$26-'Summary Sheet'!$F$27</f>
        <v>#DIV/0!</v>
      </c>
      <c r="BK6" t="e">
        <f>(BC6*BH6*BJ6*'Summary Sheet'!$F$6)+(BC6*BI6*BJ6*'Summary Sheet'!$F$6)</f>
        <v>#DIV/0!</v>
      </c>
      <c r="BN6">
        <v>2011</v>
      </c>
      <c r="BO6" s="68">
        <f>'E- &amp; NG Prices'!B57</f>
        <v>12.941310216618172</v>
      </c>
      <c r="BP6" s="68">
        <f>'E- &amp; NG Prices'!C57</f>
        <v>15.67105480116392</v>
      </c>
      <c r="BQ6" s="68">
        <f>'E- &amp; NG Prices'!D57</f>
        <v>12.592453928225025</v>
      </c>
      <c r="BR6" s="68">
        <f>'E- &amp; NG Prices'!E57</f>
        <v>10.560421920465568</v>
      </c>
      <c r="BS6" s="5"/>
      <c r="BT6" s="5"/>
      <c r="BU6" s="68">
        <f>'Summary Sheet'!$G$30</f>
        <v>0</v>
      </c>
      <c r="BV6" s="68">
        <f>'Summary Sheet'!$G$31</f>
        <v>0</v>
      </c>
      <c r="BW6" s="10" t="e">
        <f>'Summary Sheet'!$G$26-'Summary Sheet'!$G$27</f>
        <v>#DIV/0!</v>
      </c>
      <c r="BX6" t="e">
        <f>(BP6*BU6*BW6*'Summary Sheet'!$G$6)+(BP6*BV6*BW6*'Summary Sheet'!$G$6)</f>
        <v>#DIV/0!</v>
      </c>
    </row>
    <row r="7" spans="1:76" ht="12.75">
      <c r="A7">
        <v>2012</v>
      </c>
      <c r="B7" s="68">
        <f>'E- &amp; NG Prices'!B58</f>
        <v>13.62617523440026</v>
      </c>
      <c r="C7" s="68">
        <f>'E- &amp; NG Prices'!C58</f>
        <v>16.5320101842871</v>
      </c>
      <c r="D7" s="68">
        <f>'E- &amp; NG Prices'!D58</f>
        <v>13.220972356935016</v>
      </c>
      <c r="E7" s="68">
        <f>'E- &amp; NG Prices'!E58</f>
        <v>11.125543161978662</v>
      </c>
      <c r="F7" s="5"/>
      <c r="G7" s="5"/>
      <c r="H7" s="68">
        <f>'Summary Sheet'!$B$30</f>
        <v>0</v>
      </c>
      <c r="I7" s="68">
        <f>'Summary Sheet'!$B$31</f>
        <v>0</v>
      </c>
      <c r="J7" s="10" t="e">
        <f>'Summary Sheet'!$B$26-'Summary Sheet'!$B$27</f>
        <v>#DIV/0!</v>
      </c>
      <c r="K7" t="e">
        <f>(C7*H7*J7*'Summary Sheet'!$B$6)+(C7*I7*J7*'Summary Sheet'!$B$6)</f>
        <v>#DIV/0!</v>
      </c>
      <c r="N7">
        <v>2012</v>
      </c>
      <c r="O7" s="68">
        <f>'E- &amp; NG Prices'!J58</f>
        <v>13.62617523440026</v>
      </c>
      <c r="P7" s="68">
        <f>'E- &amp; NG Prices'!K58</f>
        <v>16.5320101842871</v>
      </c>
      <c r="Q7" s="68">
        <f>'E- &amp; NG Prices'!L58</f>
        <v>13.220972356935016</v>
      </c>
      <c r="R7" s="68">
        <f>'E- &amp; NG Prices'!M58</f>
        <v>11.125543161978662</v>
      </c>
      <c r="S7" s="5"/>
      <c r="T7" s="5"/>
      <c r="U7" s="68">
        <f>'Summary Sheet'!$C$30</f>
        <v>0</v>
      </c>
      <c r="V7" s="68">
        <f>'Summary Sheet'!$C$31</f>
        <v>0</v>
      </c>
      <c r="W7" s="10" t="e">
        <f>'Summary Sheet'!$C$26-'Summary Sheet'!$C$27</f>
        <v>#DIV/0!</v>
      </c>
      <c r="X7" t="e">
        <f>(P7*U7*W7*'Summary Sheet'!$C$6)+(P7*V7*W7*'Summary Sheet'!$C$6)</f>
        <v>#DIV/0!</v>
      </c>
      <c r="AA7">
        <v>2012</v>
      </c>
      <c r="AB7" s="68">
        <f>'E- &amp; NG Prices'!R58</f>
        <v>13.62617523440026</v>
      </c>
      <c r="AC7" s="68">
        <f>'E- &amp; NG Prices'!S58</f>
        <v>16.5320101842871</v>
      </c>
      <c r="AD7" s="68">
        <f>'E- &amp; NG Prices'!T58</f>
        <v>13.220972356935016</v>
      </c>
      <c r="AE7" s="68">
        <f>'E- &amp; NG Prices'!U58</f>
        <v>11.125543161978662</v>
      </c>
      <c r="AF7" s="5"/>
      <c r="AG7" s="5"/>
      <c r="AH7" s="68">
        <f>'Summary Sheet'!$D$30</f>
        <v>0</v>
      </c>
      <c r="AI7" s="68">
        <f>'Summary Sheet'!$D$31</f>
        <v>0</v>
      </c>
      <c r="AJ7" s="10" t="e">
        <f>'Summary Sheet'!$D$26-'Summary Sheet'!$D$27</f>
        <v>#DIV/0!</v>
      </c>
      <c r="AK7" t="e">
        <f>(AC7*AH7*AJ7*'Summary Sheet'!$D$6)+(AC7*AI7*AJ7*'Summary Sheet'!$D$6)</f>
        <v>#DIV/0!</v>
      </c>
      <c r="AN7">
        <v>2012</v>
      </c>
      <c r="AO7" s="68">
        <f>'E- &amp; NG Prices'!AA58</f>
        <v>13.62617523440026</v>
      </c>
      <c r="AP7" s="68">
        <f>'E- &amp; NG Prices'!AB58</f>
        <v>16.5320101842871</v>
      </c>
      <c r="AQ7" s="68">
        <f>'E- &amp; NG Prices'!AC58</f>
        <v>13.220972356935016</v>
      </c>
      <c r="AR7" s="68">
        <f>'E- &amp; NG Prices'!AD58</f>
        <v>11.125543161978662</v>
      </c>
      <c r="AS7" s="5"/>
      <c r="AT7" s="5"/>
      <c r="AU7" s="68">
        <f>'Summary Sheet'!$E$30</f>
        <v>0</v>
      </c>
      <c r="AV7" s="68">
        <f>'Summary Sheet'!$E$31</f>
        <v>0</v>
      </c>
      <c r="AW7" s="10" t="e">
        <f>'Summary Sheet'!$E$26-'Summary Sheet'!$E$27</f>
        <v>#DIV/0!</v>
      </c>
      <c r="AX7" t="e">
        <f>(AP7*AU7*AW7*'Summary Sheet'!$E$6)+(AP7*AV7*AW7*'Summary Sheet'!$E$6)</f>
        <v>#DIV/0!</v>
      </c>
      <c r="BA7">
        <v>2012</v>
      </c>
      <c r="BB7" s="68">
        <f>'E- &amp; NG Prices'!B58</f>
        <v>13.62617523440026</v>
      </c>
      <c r="BC7" s="68">
        <f>'E- &amp; NG Prices'!C58</f>
        <v>16.5320101842871</v>
      </c>
      <c r="BD7" s="68">
        <f>'E- &amp; NG Prices'!D58</f>
        <v>13.220972356935016</v>
      </c>
      <c r="BE7" s="68">
        <f>'E- &amp; NG Prices'!E58</f>
        <v>11.125543161978662</v>
      </c>
      <c r="BF7" s="5"/>
      <c r="BG7" s="5"/>
      <c r="BH7" s="68">
        <f>'Summary Sheet'!$F$30</f>
        <v>0</v>
      </c>
      <c r="BI7" s="68">
        <f>'Summary Sheet'!$F$31</f>
        <v>0</v>
      </c>
      <c r="BJ7" s="10" t="e">
        <f>'Summary Sheet'!$F$26-'Summary Sheet'!$F$27</f>
        <v>#DIV/0!</v>
      </c>
      <c r="BK7" t="e">
        <f>(BC7*BH7*BJ7*'Summary Sheet'!$F$6)+(BC7*BI7*BJ7*'Summary Sheet'!$F$6)</f>
        <v>#DIV/0!</v>
      </c>
      <c r="BN7">
        <v>2012</v>
      </c>
      <c r="BO7" s="68">
        <f>'E- &amp; NG Prices'!B58</f>
        <v>13.62617523440026</v>
      </c>
      <c r="BP7" s="68">
        <f>'E- &amp; NG Prices'!C58</f>
        <v>16.5320101842871</v>
      </c>
      <c r="BQ7" s="68">
        <f>'E- &amp; NG Prices'!D58</f>
        <v>13.220972356935016</v>
      </c>
      <c r="BR7" s="68">
        <f>'E- &amp; NG Prices'!E58</f>
        <v>11.125543161978662</v>
      </c>
      <c r="BS7" s="5"/>
      <c r="BT7" s="5"/>
      <c r="BU7" s="68">
        <f>'Summary Sheet'!$G$30</f>
        <v>0</v>
      </c>
      <c r="BV7" s="68">
        <f>'Summary Sheet'!$G$31</f>
        <v>0</v>
      </c>
      <c r="BW7" s="10" t="e">
        <f>'Summary Sheet'!$G$26-'Summary Sheet'!$G$27</f>
        <v>#DIV/0!</v>
      </c>
      <c r="BX7" t="e">
        <f>(BP7*BU7*BW7*'Summary Sheet'!$G$6)+(BP7*BV7*BW7*'Summary Sheet'!$G$6)</f>
        <v>#DIV/0!</v>
      </c>
    </row>
    <row r="8" spans="1:76" ht="12.75">
      <c r="A8">
        <v>2013</v>
      </c>
      <c r="B8" s="68">
        <f>'E- &amp; NG Prices'!B59</f>
        <v>14.541242321370838</v>
      </c>
      <c r="C8" s="68">
        <f>'E- &amp; NG Prices'!C59</f>
        <v>17.586037827352087</v>
      </c>
      <c r="D8" s="68">
        <f>'E- &amp; NG Prices'!D59</f>
        <v>14.111474296799225</v>
      </c>
      <c r="E8" s="68">
        <f>'E- &amp; NG Prices'!E59</f>
        <v>11.926214839961203</v>
      </c>
      <c r="F8" s="5"/>
      <c r="G8" s="5"/>
      <c r="H8" s="68">
        <f>'Summary Sheet'!$B$30</f>
        <v>0</v>
      </c>
      <c r="I8" s="68">
        <f>'Summary Sheet'!$B$31</f>
        <v>0</v>
      </c>
      <c r="J8" s="10" t="e">
        <f>'Summary Sheet'!$B$26-'Summary Sheet'!$B$27</f>
        <v>#DIV/0!</v>
      </c>
      <c r="K8" t="e">
        <f>(C8*H8*J8*'Summary Sheet'!$B$6)+(C8*I8*J8*'Summary Sheet'!$B$6)</f>
        <v>#DIV/0!</v>
      </c>
      <c r="N8">
        <v>2013</v>
      </c>
      <c r="O8" s="68">
        <f>'E- &amp; NG Prices'!J59</f>
        <v>14.541242321370838</v>
      </c>
      <c r="P8" s="68">
        <f>'E- &amp; NG Prices'!K59</f>
        <v>17.586037827352087</v>
      </c>
      <c r="Q8" s="68">
        <f>'E- &amp; NG Prices'!L59</f>
        <v>14.111474296799225</v>
      </c>
      <c r="R8" s="68">
        <f>'E- &amp; NG Prices'!M59</f>
        <v>11.926214839961203</v>
      </c>
      <c r="S8" s="5"/>
      <c r="T8" s="5"/>
      <c r="U8" s="68">
        <f>'Summary Sheet'!$C$30</f>
        <v>0</v>
      </c>
      <c r="V8" s="68">
        <f>'Summary Sheet'!$C$31</f>
        <v>0</v>
      </c>
      <c r="W8" s="10" t="e">
        <f>'Summary Sheet'!$C$26-'Summary Sheet'!$C$27</f>
        <v>#DIV/0!</v>
      </c>
      <c r="X8" t="e">
        <f>(P8*U8*W8*'Summary Sheet'!$C$6)+(P8*V8*W8*'Summary Sheet'!$C$6)</f>
        <v>#DIV/0!</v>
      </c>
      <c r="AA8">
        <v>2013</v>
      </c>
      <c r="AB8" s="68">
        <f>'E- &amp; NG Prices'!R59</f>
        <v>14.541242321370838</v>
      </c>
      <c r="AC8" s="68">
        <f>'E- &amp; NG Prices'!S59</f>
        <v>17.586037827352087</v>
      </c>
      <c r="AD8" s="68">
        <f>'E- &amp; NG Prices'!T59</f>
        <v>14.111474296799225</v>
      </c>
      <c r="AE8" s="68">
        <f>'E- &amp; NG Prices'!U59</f>
        <v>11.926214839961203</v>
      </c>
      <c r="AF8" s="5"/>
      <c r="AG8" s="5"/>
      <c r="AH8" s="68">
        <f>'Summary Sheet'!$D$30</f>
        <v>0</v>
      </c>
      <c r="AI8" s="68">
        <f>'Summary Sheet'!$D$31</f>
        <v>0</v>
      </c>
      <c r="AJ8" s="10" t="e">
        <f>'Summary Sheet'!$D$26-'Summary Sheet'!$D$27</f>
        <v>#DIV/0!</v>
      </c>
      <c r="AK8" t="e">
        <f>(AC8*AH8*AJ8*'Summary Sheet'!$D$6)+(AC8*AI8*AJ8*'Summary Sheet'!$D$6)</f>
        <v>#DIV/0!</v>
      </c>
      <c r="AN8">
        <v>2013</v>
      </c>
      <c r="AO8" s="68">
        <f>'E- &amp; NG Prices'!AA59</f>
        <v>14.541242321370838</v>
      </c>
      <c r="AP8" s="68">
        <f>'E- &amp; NG Prices'!AB59</f>
        <v>17.586037827352087</v>
      </c>
      <c r="AQ8" s="68">
        <f>'E- &amp; NG Prices'!AC59</f>
        <v>14.111474296799225</v>
      </c>
      <c r="AR8" s="68">
        <f>'E- &amp; NG Prices'!AD59</f>
        <v>11.926214839961203</v>
      </c>
      <c r="AS8" s="5"/>
      <c r="AT8" s="5"/>
      <c r="AU8" s="68">
        <f>'Summary Sheet'!$E$30</f>
        <v>0</v>
      </c>
      <c r="AV8" s="68">
        <f>'Summary Sheet'!$E$31</f>
        <v>0</v>
      </c>
      <c r="AW8" s="10" t="e">
        <f>'Summary Sheet'!$E$26-'Summary Sheet'!$E$27</f>
        <v>#DIV/0!</v>
      </c>
      <c r="AX8" t="e">
        <f>(AP8*AU8*AW8*'Summary Sheet'!$E$6)+(AP8*AV8*AW8*'Summary Sheet'!$E$6)</f>
        <v>#DIV/0!</v>
      </c>
      <c r="BA8">
        <v>2013</v>
      </c>
      <c r="BB8" s="68">
        <f>'E- &amp; NG Prices'!B59</f>
        <v>14.541242321370838</v>
      </c>
      <c r="BC8" s="68">
        <f>'E- &amp; NG Prices'!C59</f>
        <v>17.586037827352087</v>
      </c>
      <c r="BD8" s="68">
        <f>'E- &amp; NG Prices'!D59</f>
        <v>14.111474296799225</v>
      </c>
      <c r="BE8" s="68">
        <f>'E- &amp; NG Prices'!E59</f>
        <v>11.926214839961203</v>
      </c>
      <c r="BF8" s="5"/>
      <c r="BG8" s="5"/>
      <c r="BH8" s="68">
        <f>'Summary Sheet'!$F$30</f>
        <v>0</v>
      </c>
      <c r="BI8" s="68">
        <f>'Summary Sheet'!$F$31</f>
        <v>0</v>
      </c>
      <c r="BJ8" s="10" t="e">
        <f>'Summary Sheet'!$F$26-'Summary Sheet'!$F$27</f>
        <v>#DIV/0!</v>
      </c>
      <c r="BK8" t="e">
        <f>(BC8*BH8*BJ8*'Summary Sheet'!$F$6)+(BC8*BI8*BJ8*'Summary Sheet'!$F$6)</f>
        <v>#DIV/0!</v>
      </c>
      <c r="BN8">
        <v>2013</v>
      </c>
      <c r="BO8" s="68">
        <f>'E- &amp; NG Prices'!B59</f>
        <v>14.541242321370838</v>
      </c>
      <c r="BP8" s="68">
        <f>'E- &amp; NG Prices'!C59</f>
        <v>17.586037827352087</v>
      </c>
      <c r="BQ8" s="68">
        <f>'E- &amp; NG Prices'!D59</f>
        <v>14.111474296799225</v>
      </c>
      <c r="BR8" s="68">
        <f>'E- &amp; NG Prices'!E59</f>
        <v>11.926214839961203</v>
      </c>
      <c r="BS8" s="5"/>
      <c r="BT8" s="5"/>
      <c r="BU8" s="68">
        <f>'Summary Sheet'!$G$30</f>
        <v>0</v>
      </c>
      <c r="BV8" s="68">
        <f>'Summary Sheet'!$G$31</f>
        <v>0</v>
      </c>
      <c r="BW8" s="10" t="e">
        <f>'Summary Sheet'!$G$26-'Summary Sheet'!$G$27</f>
        <v>#DIV/0!</v>
      </c>
      <c r="BX8" t="e">
        <f>(BP8*BU8*BW8*'Summary Sheet'!$G$6)+(BP8*BV8*BW8*'Summary Sheet'!$G$6)</f>
        <v>#DIV/0!</v>
      </c>
    </row>
    <row r="9" spans="1:76" ht="12.75">
      <c r="A9">
        <v>2014</v>
      </c>
      <c r="B9" s="68">
        <f>'E- &amp; NG Prices'!B60</f>
        <v>15.84548011639185</v>
      </c>
      <c r="C9" s="68">
        <f>'E- &amp; NG Prices'!C60</f>
        <v>19.05456353055286</v>
      </c>
      <c r="D9" s="68">
        <f>'E- &amp; NG Prices'!D60</f>
        <v>15.398482056256062</v>
      </c>
      <c r="E9" s="68">
        <f>'E- &amp; NG Prices'!E60</f>
        <v>13.083394762366634</v>
      </c>
      <c r="F9" s="5"/>
      <c r="G9" s="5"/>
      <c r="H9" s="68">
        <f>'Summary Sheet'!$B$30</f>
        <v>0</v>
      </c>
      <c r="I9" s="68">
        <f>'Summary Sheet'!$B$31</f>
        <v>0</v>
      </c>
      <c r="J9" s="10" t="e">
        <f>'Summary Sheet'!$B$26-'Summary Sheet'!$B$27</f>
        <v>#DIV/0!</v>
      </c>
      <c r="K9" t="e">
        <f>(C9*H9*J9*'Summary Sheet'!$B$6)+(C9*I9*J9*'Summary Sheet'!$B$6)</f>
        <v>#DIV/0!</v>
      </c>
      <c r="N9">
        <v>2014</v>
      </c>
      <c r="O9" s="68">
        <f>'E- &amp; NG Prices'!J60</f>
        <v>15.84548011639185</v>
      </c>
      <c r="P9" s="68">
        <f>'E- &amp; NG Prices'!K60</f>
        <v>19.05456353055286</v>
      </c>
      <c r="Q9" s="68">
        <f>'E- &amp; NG Prices'!L60</f>
        <v>15.398482056256062</v>
      </c>
      <c r="R9" s="68">
        <f>'E- &amp; NG Prices'!M60</f>
        <v>13.083394762366634</v>
      </c>
      <c r="S9" s="5"/>
      <c r="T9" s="5"/>
      <c r="U9" s="68">
        <f>'Summary Sheet'!$C$30</f>
        <v>0</v>
      </c>
      <c r="V9" s="68">
        <f>'Summary Sheet'!$C$31</f>
        <v>0</v>
      </c>
      <c r="W9" s="10" t="e">
        <f>'Summary Sheet'!$C$26-'Summary Sheet'!$C$27</f>
        <v>#DIV/0!</v>
      </c>
      <c r="X9" t="e">
        <f>(P9*U9*W9*'Summary Sheet'!$C$6)+(P9*V9*W9*'Summary Sheet'!$C$6)</f>
        <v>#DIV/0!</v>
      </c>
      <c r="AA9">
        <v>2014</v>
      </c>
      <c r="AB9" s="68">
        <f>'E- &amp; NG Prices'!R60</f>
        <v>15.84548011639185</v>
      </c>
      <c r="AC9" s="68">
        <f>'E- &amp; NG Prices'!S60</f>
        <v>19.05456353055286</v>
      </c>
      <c r="AD9" s="68">
        <f>'E- &amp; NG Prices'!T60</f>
        <v>15.398482056256062</v>
      </c>
      <c r="AE9" s="68">
        <f>'E- &amp; NG Prices'!U60</f>
        <v>13.083394762366634</v>
      </c>
      <c r="AF9" s="5"/>
      <c r="AG9" s="5"/>
      <c r="AH9" s="68">
        <f>'Summary Sheet'!$D$30</f>
        <v>0</v>
      </c>
      <c r="AI9" s="68">
        <f>'Summary Sheet'!$D$31</f>
        <v>0</v>
      </c>
      <c r="AJ9" s="10" t="e">
        <f>'Summary Sheet'!$D$26-'Summary Sheet'!$D$27</f>
        <v>#DIV/0!</v>
      </c>
      <c r="AK9" t="e">
        <f>(AC9*AH9*AJ9*'Summary Sheet'!$D$6)+(AC9*AI9*AJ9*'Summary Sheet'!$D$6)</f>
        <v>#DIV/0!</v>
      </c>
      <c r="AN9">
        <v>2014</v>
      </c>
      <c r="AO9" s="68">
        <f>'E- &amp; NG Prices'!AA60</f>
        <v>15.84548011639185</v>
      </c>
      <c r="AP9" s="68">
        <f>'E- &amp; NG Prices'!AB60</f>
        <v>19.05456353055286</v>
      </c>
      <c r="AQ9" s="68">
        <f>'E- &amp; NG Prices'!AC60</f>
        <v>15.398482056256062</v>
      </c>
      <c r="AR9" s="68">
        <f>'E- &amp; NG Prices'!AD60</f>
        <v>13.083394762366634</v>
      </c>
      <c r="AS9" s="5"/>
      <c r="AT9" s="5"/>
      <c r="AU9" s="68">
        <f>'Summary Sheet'!$E$30</f>
        <v>0</v>
      </c>
      <c r="AV9" s="68">
        <f>'Summary Sheet'!$E$31</f>
        <v>0</v>
      </c>
      <c r="AW9" s="10" t="e">
        <f>'Summary Sheet'!$E$26-'Summary Sheet'!$E$27</f>
        <v>#DIV/0!</v>
      </c>
      <c r="AX9" t="e">
        <f>(AP9*AU9*AW9*'Summary Sheet'!$E$6)+(AP9*AV9*AW9*'Summary Sheet'!$E$6)</f>
        <v>#DIV/0!</v>
      </c>
      <c r="BA9">
        <v>2014</v>
      </c>
      <c r="BB9" s="68">
        <f>'E- &amp; NG Prices'!B60</f>
        <v>15.84548011639185</v>
      </c>
      <c r="BC9" s="68">
        <f>'E- &amp; NG Prices'!C60</f>
        <v>19.05456353055286</v>
      </c>
      <c r="BD9" s="68">
        <f>'E- &amp; NG Prices'!D60</f>
        <v>15.398482056256062</v>
      </c>
      <c r="BE9" s="68">
        <f>'E- &amp; NG Prices'!E60</f>
        <v>13.083394762366634</v>
      </c>
      <c r="BF9" s="5"/>
      <c r="BG9" s="5"/>
      <c r="BH9" s="68">
        <f>'Summary Sheet'!$F$30</f>
        <v>0</v>
      </c>
      <c r="BI9" s="68">
        <f>'Summary Sheet'!$F$31</f>
        <v>0</v>
      </c>
      <c r="BJ9" s="10" t="e">
        <f>'Summary Sheet'!$F$26-'Summary Sheet'!$F$27</f>
        <v>#DIV/0!</v>
      </c>
      <c r="BK9" t="e">
        <f>(BC9*BH9*BJ9*'Summary Sheet'!$F$6)+(BC9*BI9*BJ9*'Summary Sheet'!$F$6)</f>
        <v>#DIV/0!</v>
      </c>
      <c r="BN9">
        <v>2014</v>
      </c>
      <c r="BO9" s="68">
        <f>'E- &amp; NG Prices'!B60</f>
        <v>15.84548011639185</v>
      </c>
      <c r="BP9" s="68">
        <f>'E- &amp; NG Prices'!C60</f>
        <v>19.05456353055286</v>
      </c>
      <c r="BQ9" s="68">
        <f>'E- &amp; NG Prices'!D60</f>
        <v>15.398482056256062</v>
      </c>
      <c r="BR9" s="68">
        <f>'E- &amp; NG Prices'!E60</f>
        <v>13.083394762366634</v>
      </c>
      <c r="BS9" s="5"/>
      <c r="BT9" s="5"/>
      <c r="BU9" s="68">
        <f>'Summary Sheet'!$G$30</f>
        <v>0</v>
      </c>
      <c r="BV9" s="68">
        <f>'Summary Sheet'!$G$31</f>
        <v>0</v>
      </c>
      <c r="BW9" s="10" t="e">
        <f>'Summary Sheet'!$G$26-'Summary Sheet'!$G$27</f>
        <v>#DIV/0!</v>
      </c>
      <c r="BX9" t="e">
        <f>(BP9*BU9*BW9*'Summary Sheet'!$G$6)+(BP9*BV9*BW9*'Summary Sheet'!$G$6)</f>
        <v>#DIV/0!</v>
      </c>
    </row>
    <row r="10" spans="1:76" ht="12.75">
      <c r="A10">
        <v>2015</v>
      </c>
      <c r="B10" s="68">
        <f>'E- &amp; NG Prices'!B61</f>
        <v>16.24298819915939</v>
      </c>
      <c r="C10" s="68">
        <f>'E- &amp; NG Prices'!C61</f>
        <v>19.566011154219204</v>
      </c>
      <c r="D10" s="68">
        <f>'E- &amp; NG Prices'!D61</f>
        <v>15.757109602327839</v>
      </c>
      <c r="E10" s="68">
        <f>'E- &amp; NG Prices'!E61</f>
        <v>13.405843840931134</v>
      </c>
      <c r="F10" s="5"/>
      <c r="G10" s="5"/>
      <c r="H10" s="68">
        <f>'Summary Sheet'!$B$30</f>
        <v>0</v>
      </c>
      <c r="I10" s="68">
        <f>'Summary Sheet'!$B$31</f>
        <v>0</v>
      </c>
      <c r="J10" s="10" t="e">
        <f>'Summary Sheet'!$B$26-'Summary Sheet'!$B$27</f>
        <v>#DIV/0!</v>
      </c>
      <c r="K10" t="e">
        <f>(C10*H10*J10*'Summary Sheet'!$B$6)+(C10*I10*J10*'Summary Sheet'!$B$6)</f>
        <v>#DIV/0!</v>
      </c>
      <c r="N10">
        <v>2015</v>
      </c>
      <c r="O10" s="68">
        <f>'E- &amp; NG Prices'!J61</f>
        <v>16.24298819915939</v>
      </c>
      <c r="P10" s="68">
        <f>'E- &amp; NG Prices'!K61</f>
        <v>19.566011154219204</v>
      </c>
      <c r="Q10" s="68">
        <f>'E- &amp; NG Prices'!L61</f>
        <v>15.757109602327839</v>
      </c>
      <c r="R10" s="68">
        <f>'E- &amp; NG Prices'!M61</f>
        <v>13.405843840931134</v>
      </c>
      <c r="S10" s="5"/>
      <c r="T10" s="5"/>
      <c r="U10" s="68">
        <f>'Summary Sheet'!$C$30</f>
        <v>0</v>
      </c>
      <c r="V10" s="68">
        <f>'Summary Sheet'!$C$31</f>
        <v>0</v>
      </c>
      <c r="W10" s="10" t="e">
        <f>'Summary Sheet'!$C$26-'Summary Sheet'!$C$27</f>
        <v>#DIV/0!</v>
      </c>
      <c r="X10" t="e">
        <f>(P10*U10*W10*'Summary Sheet'!$C$6)+(P10*V10*W10*'Summary Sheet'!$C$6)</f>
        <v>#DIV/0!</v>
      </c>
      <c r="AA10">
        <v>2015</v>
      </c>
      <c r="AB10" s="68">
        <f>'E- &amp; NG Prices'!R61</f>
        <v>16.24298819915939</v>
      </c>
      <c r="AC10" s="68">
        <f>'E- &amp; NG Prices'!S61</f>
        <v>19.566011154219204</v>
      </c>
      <c r="AD10" s="68">
        <f>'E- &amp; NG Prices'!T61</f>
        <v>15.757109602327839</v>
      </c>
      <c r="AE10" s="68">
        <f>'E- &amp; NG Prices'!U61</f>
        <v>13.405843840931134</v>
      </c>
      <c r="AF10" s="5"/>
      <c r="AG10" s="5"/>
      <c r="AH10" s="68">
        <f>'Summary Sheet'!$D$30</f>
        <v>0</v>
      </c>
      <c r="AI10" s="68">
        <f>'Summary Sheet'!$D$31</f>
        <v>0</v>
      </c>
      <c r="AJ10" s="10" t="e">
        <f>'Summary Sheet'!$D$26-'Summary Sheet'!$D$27</f>
        <v>#DIV/0!</v>
      </c>
      <c r="AK10" t="e">
        <f>(AC10*AH10*AJ10*'Summary Sheet'!$D$6)+(AC10*AI10*AJ10*'Summary Sheet'!$D$6)</f>
        <v>#DIV/0!</v>
      </c>
      <c r="AN10">
        <v>2015</v>
      </c>
      <c r="AO10" s="68">
        <f>'E- &amp; NG Prices'!AA61</f>
        <v>16.24298819915939</v>
      </c>
      <c r="AP10" s="68">
        <f>'E- &amp; NG Prices'!AB61</f>
        <v>19.566011154219204</v>
      </c>
      <c r="AQ10" s="68">
        <f>'E- &amp; NG Prices'!AC61</f>
        <v>15.757109602327839</v>
      </c>
      <c r="AR10" s="68">
        <f>'E- &amp; NG Prices'!AD61</f>
        <v>13.405843840931134</v>
      </c>
      <c r="AS10" s="5"/>
      <c r="AT10" s="5"/>
      <c r="AU10" s="68">
        <f>'Summary Sheet'!$E$30</f>
        <v>0</v>
      </c>
      <c r="AV10" s="68">
        <f>'Summary Sheet'!$E$31</f>
        <v>0</v>
      </c>
      <c r="AW10" s="10" t="e">
        <f>'Summary Sheet'!$E$26-'Summary Sheet'!$E$27</f>
        <v>#DIV/0!</v>
      </c>
      <c r="AX10" t="e">
        <f>(AP10*AU10*AW10*'Summary Sheet'!$E$6)+(AP10*AV10*AW10*'Summary Sheet'!$E$6)</f>
        <v>#DIV/0!</v>
      </c>
      <c r="BA10">
        <v>2015</v>
      </c>
      <c r="BB10" s="68">
        <f>'E- &amp; NG Prices'!B61</f>
        <v>16.24298819915939</v>
      </c>
      <c r="BC10" s="68">
        <f>'E- &amp; NG Prices'!C61</f>
        <v>19.566011154219204</v>
      </c>
      <c r="BD10" s="68">
        <f>'E- &amp; NG Prices'!D61</f>
        <v>15.757109602327839</v>
      </c>
      <c r="BE10" s="68">
        <f>'E- &amp; NG Prices'!E61</f>
        <v>13.405843840931134</v>
      </c>
      <c r="BF10" s="5"/>
      <c r="BG10" s="5"/>
      <c r="BH10" s="68">
        <f>'Summary Sheet'!$F$30</f>
        <v>0</v>
      </c>
      <c r="BI10" s="68">
        <f>'Summary Sheet'!$F$31</f>
        <v>0</v>
      </c>
      <c r="BJ10" s="10" t="e">
        <f>'Summary Sheet'!$F$26-'Summary Sheet'!$F$27</f>
        <v>#DIV/0!</v>
      </c>
      <c r="BK10" t="e">
        <f>(BC10*BH10*BJ10*'Summary Sheet'!$F$6)+(BC10*BI10*BJ10*'Summary Sheet'!$F$6)</f>
        <v>#DIV/0!</v>
      </c>
      <c r="BN10">
        <v>2015</v>
      </c>
      <c r="BO10" s="68">
        <f>'E- &amp; NG Prices'!B61</f>
        <v>16.24298819915939</v>
      </c>
      <c r="BP10" s="68">
        <f>'E- &amp; NG Prices'!C61</f>
        <v>19.566011154219204</v>
      </c>
      <c r="BQ10" s="68">
        <f>'E- &amp; NG Prices'!D61</f>
        <v>15.757109602327839</v>
      </c>
      <c r="BR10" s="68">
        <f>'E- &amp; NG Prices'!E61</f>
        <v>13.405843840931134</v>
      </c>
      <c r="BS10" s="5"/>
      <c r="BT10" s="5"/>
      <c r="BU10" s="68">
        <f>'Summary Sheet'!$G$30</f>
        <v>0</v>
      </c>
      <c r="BV10" s="68">
        <f>'Summary Sheet'!$G$31</f>
        <v>0</v>
      </c>
      <c r="BW10" s="10" t="e">
        <f>'Summary Sheet'!$G$26-'Summary Sheet'!$G$27</f>
        <v>#DIV/0!</v>
      </c>
      <c r="BX10" t="e">
        <f>(BP10*BU10*BW10*'Summary Sheet'!$G$6)+(BP10*BV10*BW10*'Summary Sheet'!$G$6)</f>
        <v>#DIV/0!</v>
      </c>
    </row>
    <row r="11" spans="1:76" ht="12.75">
      <c r="A11">
        <v>2016</v>
      </c>
      <c r="B11" s="68">
        <f>'E- &amp; NG Prices'!B62</f>
        <v>16.394948270287745</v>
      </c>
      <c r="C11" s="68">
        <f>'E- &amp; NG Prices'!C62</f>
        <v>19.77809408341416</v>
      </c>
      <c r="D11" s="68">
        <f>'E- &amp; NG Prices'!D62</f>
        <v>15.885480116391852</v>
      </c>
      <c r="E11" s="68">
        <f>'E- &amp; NG Prices'!E62</f>
        <v>13.521270611057226</v>
      </c>
      <c r="F11" s="5"/>
      <c r="G11" s="5"/>
      <c r="H11" s="68">
        <f>'Summary Sheet'!$B$30</f>
        <v>0</v>
      </c>
      <c r="I11" s="68">
        <f>'Summary Sheet'!$B$31</f>
        <v>0</v>
      </c>
      <c r="J11" s="10" t="e">
        <f>'Summary Sheet'!$B$26-'Summary Sheet'!$B$27</f>
        <v>#DIV/0!</v>
      </c>
      <c r="K11" t="e">
        <f>(C11*H11*J11*'Summary Sheet'!$B$6)+(C11*I11*J11*'Summary Sheet'!$B$6)</f>
        <v>#DIV/0!</v>
      </c>
      <c r="N11">
        <v>2016</v>
      </c>
      <c r="O11" s="68">
        <f>'E- &amp; NG Prices'!J62</f>
        <v>16.394948270287745</v>
      </c>
      <c r="P11" s="68">
        <f>'E- &amp; NG Prices'!K62</f>
        <v>19.77809408341416</v>
      </c>
      <c r="Q11" s="68">
        <f>'E- &amp; NG Prices'!L62</f>
        <v>15.885480116391852</v>
      </c>
      <c r="R11" s="68">
        <f>'E- &amp; NG Prices'!M62</f>
        <v>13.521270611057226</v>
      </c>
      <c r="S11" s="5"/>
      <c r="T11" s="5"/>
      <c r="U11" s="68">
        <f>'Summary Sheet'!$C$30</f>
        <v>0</v>
      </c>
      <c r="V11" s="68">
        <f>'Summary Sheet'!$C$31</f>
        <v>0</v>
      </c>
      <c r="W11" s="10" t="e">
        <f>'Summary Sheet'!$C$26-'Summary Sheet'!$C$27</f>
        <v>#DIV/0!</v>
      </c>
      <c r="X11" t="e">
        <f>(P11*U11*W11*'Summary Sheet'!$C$6)+(P11*V11*W11*'Summary Sheet'!$C$6)</f>
        <v>#DIV/0!</v>
      </c>
      <c r="AA11">
        <v>2016</v>
      </c>
      <c r="AB11" s="68">
        <f>'E- &amp; NG Prices'!R62</f>
        <v>16.394948270287745</v>
      </c>
      <c r="AC11" s="68">
        <f>'E- &amp; NG Prices'!S62</f>
        <v>19.77809408341416</v>
      </c>
      <c r="AD11" s="68">
        <f>'E- &amp; NG Prices'!T62</f>
        <v>15.885480116391852</v>
      </c>
      <c r="AE11" s="68">
        <f>'E- &amp; NG Prices'!U62</f>
        <v>13.521270611057226</v>
      </c>
      <c r="AF11" s="5"/>
      <c r="AG11" s="5"/>
      <c r="AH11" s="68">
        <f>'Summary Sheet'!$D$30</f>
        <v>0</v>
      </c>
      <c r="AI11" s="68">
        <f>'Summary Sheet'!$D$31</f>
        <v>0</v>
      </c>
      <c r="AJ11" s="10" t="e">
        <f>'Summary Sheet'!$D$26-'Summary Sheet'!$D$27</f>
        <v>#DIV/0!</v>
      </c>
      <c r="AK11" t="e">
        <f>(AC11*AH11*AJ11*'Summary Sheet'!$D$6)+(AC11*AI11*AJ11*'Summary Sheet'!$D$6)</f>
        <v>#DIV/0!</v>
      </c>
      <c r="AN11">
        <v>2016</v>
      </c>
      <c r="AO11" s="68">
        <f>'E- &amp; NG Prices'!AA62</f>
        <v>16.394948270287745</v>
      </c>
      <c r="AP11" s="68">
        <f>'E- &amp; NG Prices'!AB62</f>
        <v>19.77809408341416</v>
      </c>
      <c r="AQ11" s="68">
        <f>'E- &amp; NG Prices'!AC62</f>
        <v>15.885480116391852</v>
      </c>
      <c r="AR11" s="68">
        <f>'E- &amp; NG Prices'!AD62</f>
        <v>13.521270611057226</v>
      </c>
      <c r="AS11" s="5"/>
      <c r="AT11" s="5"/>
      <c r="AU11" s="68">
        <f>'Summary Sheet'!$E$30</f>
        <v>0</v>
      </c>
      <c r="AV11" s="68">
        <f>'Summary Sheet'!$E$31</f>
        <v>0</v>
      </c>
      <c r="AW11" s="10" t="e">
        <f>'Summary Sheet'!$E$26-'Summary Sheet'!$E$27</f>
        <v>#DIV/0!</v>
      </c>
      <c r="AX11" t="e">
        <f>(AP11*AU11*AW11*'Summary Sheet'!$E$6)+(AP11*AV11*AW11*'Summary Sheet'!$E$6)</f>
        <v>#DIV/0!</v>
      </c>
      <c r="BA11">
        <v>2016</v>
      </c>
      <c r="BB11" s="68">
        <f>'E- &amp; NG Prices'!B62</f>
        <v>16.394948270287745</v>
      </c>
      <c r="BC11" s="68">
        <f>'E- &amp; NG Prices'!C62</f>
        <v>19.77809408341416</v>
      </c>
      <c r="BD11" s="68">
        <f>'E- &amp; NG Prices'!D62</f>
        <v>15.885480116391852</v>
      </c>
      <c r="BE11" s="68">
        <f>'E- &amp; NG Prices'!E62</f>
        <v>13.521270611057226</v>
      </c>
      <c r="BF11" s="5"/>
      <c r="BG11" s="5"/>
      <c r="BH11" s="68">
        <f>'Summary Sheet'!$F$30</f>
        <v>0</v>
      </c>
      <c r="BI11" s="68">
        <f>'Summary Sheet'!$F$31</f>
        <v>0</v>
      </c>
      <c r="BJ11" s="10" t="e">
        <f>'Summary Sheet'!$F$26-'Summary Sheet'!$F$27</f>
        <v>#DIV/0!</v>
      </c>
      <c r="BK11" t="e">
        <f>(BC11*BH11*BJ11*'Summary Sheet'!$F$6)+(BC11*BI11*BJ11*'Summary Sheet'!$F$6)</f>
        <v>#DIV/0!</v>
      </c>
      <c r="BN11">
        <v>2016</v>
      </c>
      <c r="BO11" s="68">
        <f>'E- &amp; NG Prices'!B62</f>
        <v>16.394948270287745</v>
      </c>
      <c r="BP11" s="68">
        <f>'E- &amp; NG Prices'!C62</f>
        <v>19.77809408341416</v>
      </c>
      <c r="BQ11" s="68">
        <f>'E- &amp; NG Prices'!D62</f>
        <v>15.885480116391852</v>
      </c>
      <c r="BR11" s="68">
        <f>'E- &amp; NG Prices'!E62</f>
        <v>13.521270611057226</v>
      </c>
      <c r="BS11" s="5"/>
      <c r="BT11" s="5"/>
      <c r="BU11" s="68">
        <f>'Summary Sheet'!$G$30</f>
        <v>0</v>
      </c>
      <c r="BV11" s="68">
        <f>'Summary Sheet'!$G$31</f>
        <v>0</v>
      </c>
      <c r="BW11" s="10" t="e">
        <f>'Summary Sheet'!$G$26-'Summary Sheet'!$G$27</f>
        <v>#DIV/0!</v>
      </c>
      <c r="BX11" t="e">
        <f>(BP11*BU11*BW11*'Summary Sheet'!$G$6)+(BP11*BV11*BW11*'Summary Sheet'!$G$6)</f>
        <v>#DIV/0!</v>
      </c>
    </row>
    <row r="12" spans="1:76" ht="12.75">
      <c r="A12">
        <v>2017</v>
      </c>
      <c r="B12" s="68">
        <f>'E- &amp; NG Prices'!B63</f>
        <v>16.53976721629486</v>
      </c>
      <c r="C12" s="68">
        <f>'E- &amp; NG Prices'!C63</f>
        <v>19.958763336566438</v>
      </c>
      <c r="D12" s="68">
        <f>'E- &amp; NG Prices'!D63</f>
        <v>16.019114936954413</v>
      </c>
      <c r="E12" s="68">
        <f>'E- &amp; NG Prices'!E63</f>
        <v>13.641423375363724</v>
      </c>
      <c r="F12" s="5"/>
      <c r="G12" s="5"/>
      <c r="H12" s="68">
        <f>'Summary Sheet'!$B$30</f>
        <v>0</v>
      </c>
      <c r="I12" s="68">
        <f>'Summary Sheet'!$B$31</f>
        <v>0</v>
      </c>
      <c r="J12" s="10" t="e">
        <f>'Summary Sheet'!$B$26-'Summary Sheet'!$B$27</f>
        <v>#DIV/0!</v>
      </c>
      <c r="K12" t="e">
        <f>(C12*H12*J12*'Summary Sheet'!$B$6)+(C12*I12*J12*'Summary Sheet'!$B$6)</f>
        <v>#DIV/0!</v>
      </c>
      <c r="N12">
        <v>2017</v>
      </c>
      <c r="O12" s="68">
        <f>'E- &amp; NG Prices'!J63</f>
        <v>16.53976721629486</v>
      </c>
      <c r="P12" s="68">
        <f>'E- &amp; NG Prices'!K63</f>
        <v>19.958763336566438</v>
      </c>
      <c r="Q12" s="68">
        <f>'E- &amp; NG Prices'!L63</f>
        <v>16.019114936954413</v>
      </c>
      <c r="R12" s="68">
        <f>'E- &amp; NG Prices'!M63</f>
        <v>13.641423375363724</v>
      </c>
      <c r="S12" s="5"/>
      <c r="T12" s="5"/>
      <c r="U12" s="68">
        <f>'Summary Sheet'!$C$30</f>
        <v>0</v>
      </c>
      <c r="V12" s="68">
        <f>'Summary Sheet'!$C$31</f>
        <v>0</v>
      </c>
      <c r="W12" s="10" t="e">
        <f>'Summary Sheet'!$C$26-'Summary Sheet'!$C$27</f>
        <v>#DIV/0!</v>
      </c>
      <c r="X12" t="e">
        <f>(P12*U12*W12*'Summary Sheet'!$C$6)+(P12*V12*W12*'Summary Sheet'!$C$6)</f>
        <v>#DIV/0!</v>
      </c>
      <c r="AA12">
        <v>2017</v>
      </c>
      <c r="AB12" s="68">
        <f>'E- &amp; NG Prices'!R63</f>
        <v>16.53976721629486</v>
      </c>
      <c r="AC12" s="68">
        <f>'E- &amp; NG Prices'!S63</f>
        <v>19.958763336566438</v>
      </c>
      <c r="AD12" s="68">
        <f>'E- &amp; NG Prices'!T63</f>
        <v>16.019114936954413</v>
      </c>
      <c r="AE12" s="68">
        <f>'E- &amp; NG Prices'!U63</f>
        <v>13.641423375363724</v>
      </c>
      <c r="AF12" s="5"/>
      <c r="AG12" s="5"/>
      <c r="AH12" s="68">
        <f>'Summary Sheet'!$D$30</f>
        <v>0</v>
      </c>
      <c r="AI12" s="68">
        <f>'Summary Sheet'!$D$31</f>
        <v>0</v>
      </c>
      <c r="AJ12" s="10" t="e">
        <f>'Summary Sheet'!$D$26-'Summary Sheet'!$D$27</f>
        <v>#DIV/0!</v>
      </c>
      <c r="AK12" t="e">
        <f>(AC12*AH12*AJ12*'Summary Sheet'!$D$6)+(AC12*AI12*AJ12*'Summary Sheet'!$D$6)</f>
        <v>#DIV/0!</v>
      </c>
      <c r="AN12">
        <v>2017</v>
      </c>
      <c r="AO12" s="68">
        <f>'E- &amp; NG Prices'!AA63</f>
        <v>16.53976721629486</v>
      </c>
      <c r="AP12" s="68">
        <f>'E- &amp; NG Prices'!AB63</f>
        <v>19.958763336566438</v>
      </c>
      <c r="AQ12" s="68">
        <f>'E- &amp; NG Prices'!AC63</f>
        <v>16.019114936954413</v>
      </c>
      <c r="AR12" s="68">
        <f>'E- &amp; NG Prices'!AD63</f>
        <v>13.641423375363724</v>
      </c>
      <c r="AS12" s="5"/>
      <c r="AT12" s="5"/>
      <c r="AU12" s="68">
        <f>'Summary Sheet'!$E$30</f>
        <v>0</v>
      </c>
      <c r="AV12" s="68">
        <f>'Summary Sheet'!$E$31</f>
        <v>0</v>
      </c>
      <c r="AW12" s="10" t="e">
        <f>'Summary Sheet'!$E$26-'Summary Sheet'!$E$27</f>
        <v>#DIV/0!</v>
      </c>
      <c r="AX12" t="e">
        <f>(AP12*AU12*AW12*'Summary Sheet'!$E$6)+(AP12*AV12*AW12*'Summary Sheet'!$E$6)</f>
        <v>#DIV/0!</v>
      </c>
      <c r="BA12">
        <v>2017</v>
      </c>
      <c r="BB12" s="68">
        <f>'E- &amp; NG Prices'!B63</f>
        <v>16.53976721629486</v>
      </c>
      <c r="BC12" s="68">
        <f>'E- &amp; NG Prices'!C63</f>
        <v>19.958763336566438</v>
      </c>
      <c r="BD12" s="68">
        <f>'E- &amp; NG Prices'!D63</f>
        <v>16.019114936954413</v>
      </c>
      <c r="BE12" s="68">
        <f>'E- &amp; NG Prices'!E63</f>
        <v>13.641423375363724</v>
      </c>
      <c r="BF12" s="5"/>
      <c r="BG12" s="5"/>
      <c r="BH12" s="68">
        <f>'Summary Sheet'!$F$30</f>
        <v>0</v>
      </c>
      <c r="BI12" s="68">
        <f>'Summary Sheet'!$F$31</f>
        <v>0</v>
      </c>
      <c r="BJ12" s="10" t="e">
        <f>'Summary Sheet'!$F$26-'Summary Sheet'!$F$27</f>
        <v>#DIV/0!</v>
      </c>
      <c r="BK12" t="e">
        <f>(BC12*BH12*BJ12*'Summary Sheet'!$F$6)+(BC12*BI12*BJ12*'Summary Sheet'!$F$6)</f>
        <v>#DIV/0!</v>
      </c>
      <c r="BN12">
        <v>2017</v>
      </c>
      <c r="BO12" s="68">
        <f>'E- &amp; NG Prices'!B63</f>
        <v>16.53976721629486</v>
      </c>
      <c r="BP12" s="68">
        <f>'E- &amp; NG Prices'!C63</f>
        <v>19.958763336566438</v>
      </c>
      <c r="BQ12" s="68">
        <f>'E- &amp; NG Prices'!D63</f>
        <v>16.019114936954413</v>
      </c>
      <c r="BR12" s="68">
        <f>'E- &amp; NG Prices'!E63</f>
        <v>13.641423375363724</v>
      </c>
      <c r="BS12" s="5"/>
      <c r="BT12" s="5"/>
      <c r="BU12" s="68">
        <f>'Summary Sheet'!$G$30</f>
        <v>0</v>
      </c>
      <c r="BV12" s="68">
        <f>'Summary Sheet'!$G$31</f>
        <v>0</v>
      </c>
      <c r="BW12" s="10" t="e">
        <f>'Summary Sheet'!$G$26-'Summary Sheet'!$G$27</f>
        <v>#DIV/0!</v>
      </c>
      <c r="BX12" t="e">
        <f>(BP12*BU12*BW12*'Summary Sheet'!$G$6)+(BP12*BV12*BW12*'Summary Sheet'!$G$6)</f>
        <v>#DIV/0!</v>
      </c>
    </row>
    <row r="13" spans="1:76" ht="12.75">
      <c r="A13">
        <v>2018</v>
      </c>
      <c r="B13" s="68">
        <f>'E- &amp; NG Prices'!B64</f>
        <v>16.592013417394114</v>
      </c>
      <c r="C13" s="68">
        <f>'E- &amp; NG Prices'!C64</f>
        <v>20.030535887487876</v>
      </c>
      <c r="D13" s="68">
        <f>'E- &amp; NG Prices'!D64</f>
        <v>16.063855480116388</v>
      </c>
      <c r="E13" s="68">
        <f>'E- &amp; NG Prices'!E64</f>
        <v>13.68164888457808</v>
      </c>
      <c r="F13" s="5"/>
      <c r="G13" s="5"/>
      <c r="H13" s="68">
        <f>'Summary Sheet'!$B$30</f>
        <v>0</v>
      </c>
      <c r="I13" s="68">
        <f>'Summary Sheet'!$B$31</f>
        <v>0</v>
      </c>
      <c r="J13" s="10" t="e">
        <f>'Summary Sheet'!$B$26-'Summary Sheet'!$B$27</f>
        <v>#DIV/0!</v>
      </c>
      <c r="K13" t="e">
        <f>(C13*H13*J13*'Summary Sheet'!$B$6)+(C13*I13*J13*'Summary Sheet'!$B$6)</f>
        <v>#DIV/0!</v>
      </c>
      <c r="N13">
        <v>2018</v>
      </c>
      <c r="O13" s="68">
        <f>'E- &amp; NG Prices'!J64</f>
        <v>16.592013417394114</v>
      </c>
      <c r="P13" s="68">
        <f>'E- &amp; NG Prices'!K64</f>
        <v>20.030535887487876</v>
      </c>
      <c r="Q13" s="68">
        <f>'E- &amp; NG Prices'!L64</f>
        <v>16.063855480116388</v>
      </c>
      <c r="R13" s="68">
        <f>'E- &amp; NG Prices'!M64</f>
        <v>13.68164888457808</v>
      </c>
      <c r="S13" s="5"/>
      <c r="T13" s="5"/>
      <c r="U13" s="68">
        <f>'Summary Sheet'!$C$30</f>
        <v>0</v>
      </c>
      <c r="V13" s="68">
        <f>'Summary Sheet'!$C$31</f>
        <v>0</v>
      </c>
      <c r="W13" s="10" t="e">
        <f>'Summary Sheet'!$C$26-'Summary Sheet'!$C$27</f>
        <v>#DIV/0!</v>
      </c>
      <c r="X13" t="e">
        <f>(P13*U13*W13*'Summary Sheet'!$C$6)+(P13*V13*W13*'Summary Sheet'!$C$6)</f>
        <v>#DIV/0!</v>
      </c>
      <c r="AA13">
        <v>2018</v>
      </c>
      <c r="AB13" s="68">
        <f>'E- &amp; NG Prices'!R64</f>
        <v>16.592013417394114</v>
      </c>
      <c r="AC13" s="68">
        <f>'E- &amp; NG Prices'!S64</f>
        <v>20.030535887487876</v>
      </c>
      <c r="AD13" s="68">
        <f>'E- &amp; NG Prices'!T64</f>
        <v>16.063855480116388</v>
      </c>
      <c r="AE13" s="68">
        <f>'E- &amp; NG Prices'!U64</f>
        <v>13.68164888457808</v>
      </c>
      <c r="AF13" s="5"/>
      <c r="AG13" s="5"/>
      <c r="AH13" s="68">
        <f>'Summary Sheet'!$D$30</f>
        <v>0</v>
      </c>
      <c r="AI13" s="68">
        <f>'Summary Sheet'!$D$31</f>
        <v>0</v>
      </c>
      <c r="AJ13" s="10" t="e">
        <f>'Summary Sheet'!$D$26-'Summary Sheet'!$D$27</f>
        <v>#DIV/0!</v>
      </c>
      <c r="AK13" t="e">
        <f>(AC13*AH13*AJ13*'Summary Sheet'!$D$6)+(AC13*AI13*AJ13*'Summary Sheet'!$D$6)</f>
        <v>#DIV/0!</v>
      </c>
      <c r="AN13">
        <v>2018</v>
      </c>
      <c r="AO13" s="68">
        <f>'E- &amp; NG Prices'!AA64</f>
        <v>16.592013417394114</v>
      </c>
      <c r="AP13" s="68">
        <f>'E- &amp; NG Prices'!AB64</f>
        <v>20.030535887487876</v>
      </c>
      <c r="AQ13" s="68">
        <f>'E- &amp; NG Prices'!AC64</f>
        <v>16.063855480116388</v>
      </c>
      <c r="AR13" s="68">
        <f>'E- &amp; NG Prices'!AD64</f>
        <v>13.68164888457808</v>
      </c>
      <c r="AS13" s="5"/>
      <c r="AT13" s="5"/>
      <c r="AU13" s="68">
        <f>'Summary Sheet'!$E$30</f>
        <v>0</v>
      </c>
      <c r="AV13" s="68">
        <f>'Summary Sheet'!$E$31</f>
        <v>0</v>
      </c>
      <c r="AW13" s="10" t="e">
        <f>'Summary Sheet'!$E$26-'Summary Sheet'!$E$27</f>
        <v>#DIV/0!</v>
      </c>
      <c r="AX13" t="e">
        <f>(AP13*AU13*AW13*'Summary Sheet'!$E$6)+(AP13*AV13*AW13*'Summary Sheet'!$E$6)</f>
        <v>#DIV/0!</v>
      </c>
      <c r="BA13">
        <v>2018</v>
      </c>
      <c r="BB13" s="68">
        <f>'E- &amp; NG Prices'!B64</f>
        <v>16.592013417394114</v>
      </c>
      <c r="BC13" s="68">
        <f>'E- &amp; NG Prices'!C64</f>
        <v>20.030535887487876</v>
      </c>
      <c r="BD13" s="68">
        <f>'E- &amp; NG Prices'!D64</f>
        <v>16.063855480116388</v>
      </c>
      <c r="BE13" s="68">
        <f>'E- &amp; NG Prices'!E64</f>
        <v>13.68164888457808</v>
      </c>
      <c r="BF13" s="5"/>
      <c r="BG13" s="5"/>
      <c r="BH13" s="68">
        <f>'Summary Sheet'!$F$30</f>
        <v>0</v>
      </c>
      <c r="BI13" s="68">
        <f>'Summary Sheet'!$F$31</f>
        <v>0</v>
      </c>
      <c r="BJ13" s="10" t="e">
        <f>'Summary Sheet'!$F$26-'Summary Sheet'!$F$27</f>
        <v>#DIV/0!</v>
      </c>
      <c r="BK13" t="e">
        <f>(BC13*BH13*BJ13*'Summary Sheet'!$F$6)+(BC13*BI13*BJ13*'Summary Sheet'!$F$6)</f>
        <v>#DIV/0!</v>
      </c>
      <c r="BN13">
        <v>2018</v>
      </c>
      <c r="BO13" s="68">
        <f>'E- &amp; NG Prices'!B64</f>
        <v>16.592013417394114</v>
      </c>
      <c r="BP13" s="68">
        <f>'E- &amp; NG Prices'!C64</f>
        <v>20.030535887487876</v>
      </c>
      <c r="BQ13" s="68">
        <f>'E- &amp; NG Prices'!D64</f>
        <v>16.063855480116388</v>
      </c>
      <c r="BR13" s="68">
        <f>'E- &amp; NG Prices'!E64</f>
        <v>13.68164888457808</v>
      </c>
      <c r="BS13" s="5"/>
      <c r="BT13" s="5"/>
      <c r="BU13" s="68">
        <f>'Summary Sheet'!$G$30</f>
        <v>0</v>
      </c>
      <c r="BV13" s="68">
        <f>'Summary Sheet'!$G$31</f>
        <v>0</v>
      </c>
      <c r="BW13" s="10" t="e">
        <f>'Summary Sheet'!$G$26-'Summary Sheet'!$G$27</f>
        <v>#DIV/0!</v>
      </c>
      <c r="BX13" t="e">
        <f>(BP13*BU13*BW13*'Summary Sheet'!$G$6)+(BP13*BV13*BW13*'Summary Sheet'!$G$6)</f>
        <v>#DIV/0!</v>
      </c>
    </row>
    <row r="14" spans="1:76" ht="12.75">
      <c r="A14">
        <v>2019</v>
      </c>
      <c r="B14" s="68">
        <f>'E- &amp; NG Prices'!B65</f>
        <v>17.159707713560966</v>
      </c>
      <c r="C14" s="68">
        <f>'E- &amp; NG Prices'!C65</f>
        <v>20.609114844165315</v>
      </c>
      <c r="D14" s="68">
        <f>'E- &amp; NG Prices'!D65</f>
        <v>16.593257791332256</v>
      </c>
      <c r="E14" s="68">
        <f>'E- &amp; NG Prices'!E65</f>
        <v>14.276750505185333</v>
      </c>
      <c r="F14" s="5"/>
      <c r="G14" s="5"/>
      <c r="H14" s="68">
        <f>'Summary Sheet'!$B$30</f>
        <v>0</v>
      </c>
      <c r="I14" s="68">
        <f>'Summary Sheet'!$B$31</f>
        <v>0</v>
      </c>
      <c r="J14" s="10" t="e">
        <f>'Summary Sheet'!$B$26-'Summary Sheet'!$B$27</f>
        <v>#DIV/0!</v>
      </c>
      <c r="K14" t="e">
        <f>(C14*H14*J14*'Summary Sheet'!$B$6)+(C14*I14*J14*'Summary Sheet'!$B$6)</f>
        <v>#DIV/0!</v>
      </c>
      <c r="N14">
        <v>2019</v>
      </c>
      <c r="O14" s="68">
        <f>'E- &amp; NG Prices'!J65</f>
        <v>17.159707713560966</v>
      </c>
      <c r="P14" s="68">
        <f>'E- &amp; NG Prices'!K65</f>
        <v>20.609114844165315</v>
      </c>
      <c r="Q14" s="68">
        <f>'E- &amp; NG Prices'!L65</f>
        <v>16.593257791332256</v>
      </c>
      <c r="R14" s="68">
        <f>'E- &amp; NG Prices'!M65</f>
        <v>14.276750505185333</v>
      </c>
      <c r="S14" s="5"/>
      <c r="T14" s="5"/>
      <c r="U14" s="68">
        <f>'Summary Sheet'!$C$30</f>
        <v>0</v>
      </c>
      <c r="V14" s="68">
        <f>'Summary Sheet'!$C$31</f>
        <v>0</v>
      </c>
      <c r="W14" s="10" t="e">
        <f>'Summary Sheet'!$C$26-'Summary Sheet'!$C$27</f>
        <v>#DIV/0!</v>
      </c>
      <c r="X14" t="e">
        <f>(P14*U14*W14*'Summary Sheet'!$C$6)+(P14*V14*W14*'Summary Sheet'!$C$6)</f>
        <v>#DIV/0!</v>
      </c>
      <c r="AA14">
        <v>2019</v>
      </c>
      <c r="AB14" s="68">
        <f>'E- &amp; NG Prices'!R65</f>
        <v>17.159707713560966</v>
      </c>
      <c r="AC14" s="68">
        <f>'E- &amp; NG Prices'!S65</f>
        <v>20.609114844165315</v>
      </c>
      <c r="AD14" s="68">
        <f>'E- &amp; NG Prices'!T65</f>
        <v>16.593257791332256</v>
      </c>
      <c r="AE14" s="68">
        <f>'E- &amp; NG Prices'!U65</f>
        <v>14.276750505185333</v>
      </c>
      <c r="AF14" s="5"/>
      <c r="AG14" s="5"/>
      <c r="AH14" s="68">
        <f>'Summary Sheet'!$D$30</f>
        <v>0</v>
      </c>
      <c r="AI14" s="68">
        <f>'Summary Sheet'!$D$31</f>
        <v>0</v>
      </c>
      <c r="AJ14" s="10" t="e">
        <f>'Summary Sheet'!$D$26-'Summary Sheet'!$D$27</f>
        <v>#DIV/0!</v>
      </c>
      <c r="AK14" t="e">
        <f>(AC14*AH14*AJ14*'Summary Sheet'!$D$6)+(AC14*AI14*AJ14*'Summary Sheet'!$D$6)</f>
        <v>#DIV/0!</v>
      </c>
      <c r="AN14">
        <v>2019</v>
      </c>
      <c r="AO14" s="68">
        <f>'E- &amp; NG Prices'!AA65</f>
        <v>17.159707713560966</v>
      </c>
      <c r="AP14" s="68">
        <f>'E- &amp; NG Prices'!AB65</f>
        <v>20.609114844165315</v>
      </c>
      <c r="AQ14" s="68">
        <f>'E- &amp; NG Prices'!AC65</f>
        <v>16.593257791332256</v>
      </c>
      <c r="AR14" s="68">
        <f>'E- &amp; NG Prices'!AD65</f>
        <v>14.276750505185333</v>
      </c>
      <c r="AS14" s="5"/>
      <c r="AT14" s="5"/>
      <c r="AU14" s="68">
        <f>'Summary Sheet'!$E$30</f>
        <v>0</v>
      </c>
      <c r="AV14" s="68">
        <f>'Summary Sheet'!$E$31</f>
        <v>0</v>
      </c>
      <c r="AW14" s="10" t="e">
        <f>'Summary Sheet'!$E$26-'Summary Sheet'!$E$27</f>
        <v>#DIV/0!</v>
      </c>
      <c r="AX14" t="e">
        <f>(AP14*AU14*AW14*'Summary Sheet'!$E$6)+(AP14*AV14*AW14*'Summary Sheet'!$E$6)</f>
        <v>#DIV/0!</v>
      </c>
      <c r="BA14">
        <v>2019</v>
      </c>
      <c r="BB14" s="68">
        <f>'E- &amp; NG Prices'!B65</f>
        <v>17.159707713560966</v>
      </c>
      <c r="BC14" s="68">
        <f>'E- &amp; NG Prices'!C65</f>
        <v>20.609114844165315</v>
      </c>
      <c r="BD14" s="68">
        <f>'E- &amp; NG Prices'!D65</f>
        <v>16.593257791332256</v>
      </c>
      <c r="BE14" s="68">
        <f>'E- &amp; NG Prices'!E65</f>
        <v>14.276750505185333</v>
      </c>
      <c r="BF14" s="5"/>
      <c r="BG14" s="5"/>
      <c r="BH14" s="68">
        <f>'Summary Sheet'!$F$30</f>
        <v>0</v>
      </c>
      <c r="BI14" s="68">
        <f>'Summary Sheet'!$F$31</f>
        <v>0</v>
      </c>
      <c r="BJ14" s="10" t="e">
        <f>'Summary Sheet'!$F$26-'Summary Sheet'!$F$27</f>
        <v>#DIV/0!</v>
      </c>
      <c r="BK14" t="e">
        <f>(BC14*BH14*BJ14*'Summary Sheet'!$F$6)+(BC14*BI14*BJ14*'Summary Sheet'!$F$6)</f>
        <v>#DIV/0!</v>
      </c>
      <c r="BN14">
        <v>2019</v>
      </c>
      <c r="BO14" s="68">
        <f>'E- &amp; NG Prices'!B65</f>
        <v>17.159707713560966</v>
      </c>
      <c r="BP14" s="68">
        <f>'E- &amp; NG Prices'!C65</f>
        <v>20.609114844165315</v>
      </c>
      <c r="BQ14" s="68">
        <f>'E- &amp; NG Prices'!D65</f>
        <v>16.593257791332256</v>
      </c>
      <c r="BR14" s="68">
        <f>'E- &amp; NG Prices'!E65</f>
        <v>14.276750505185333</v>
      </c>
      <c r="BS14" s="5"/>
      <c r="BT14" s="5"/>
      <c r="BU14" s="68">
        <f>'Summary Sheet'!$G$30</f>
        <v>0</v>
      </c>
      <c r="BV14" s="68">
        <f>'Summary Sheet'!$G$31</f>
        <v>0</v>
      </c>
      <c r="BW14" s="10" t="e">
        <f>'Summary Sheet'!$G$26-'Summary Sheet'!$G$27</f>
        <v>#DIV/0!</v>
      </c>
      <c r="BX14" t="e">
        <f>(BP14*BU14*BW14*'Summary Sheet'!$G$6)+(BP14*BV14*BW14*'Summary Sheet'!$G$6)</f>
        <v>#DIV/0!</v>
      </c>
    </row>
    <row r="15" spans="1:76" ht="12.75">
      <c r="A15">
        <v>2020</v>
      </c>
      <c r="B15" s="68">
        <f>'E- &amp; NG Prices'!B66</f>
        <v>17.74741665984359</v>
      </c>
      <c r="C15" s="68">
        <f>'E- &amp; NG Prices'!C66</f>
        <v>21.204405965259635</v>
      </c>
      <c r="D15" s="68">
        <f>'E- &amp; NG Prices'!D66</f>
        <v>17.140107147404052</v>
      </c>
      <c r="E15" s="68">
        <f>'E- &amp; NG Prices'!E66</f>
        <v>14.897736866867078</v>
      </c>
      <c r="F15" s="5"/>
      <c r="G15" s="5"/>
      <c r="H15" s="68">
        <f>'Summary Sheet'!$B$30</f>
        <v>0</v>
      </c>
      <c r="I15" s="68">
        <f>'Summary Sheet'!$B$31</f>
        <v>0</v>
      </c>
      <c r="J15" s="10" t="e">
        <f>'Summary Sheet'!$B$26-'Summary Sheet'!$B$27</f>
        <v>#DIV/0!</v>
      </c>
      <c r="K15" t="e">
        <f>(C15*H15*J15*'Summary Sheet'!$B$6)+(C15*I15*J15*'Summary Sheet'!$B$6)</f>
        <v>#DIV/0!</v>
      </c>
      <c r="N15">
        <v>2020</v>
      </c>
      <c r="O15" s="68">
        <f>'E- &amp; NG Prices'!J66</f>
        <v>17.74741665984359</v>
      </c>
      <c r="P15" s="68">
        <f>'E- &amp; NG Prices'!K66</f>
        <v>21.204405965259635</v>
      </c>
      <c r="Q15" s="68">
        <f>'E- &amp; NG Prices'!L66</f>
        <v>17.140107147404052</v>
      </c>
      <c r="R15" s="68">
        <f>'E- &amp; NG Prices'!M66</f>
        <v>14.897736866867078</v>
      </c>
      <c r="S15" s="5"/>
      <c r="T15" s="5"/>
      <c r="U15" s="68">
        <f>'Summary Sheet'!$C$30</f>
        <v>0</v>
      </c>
      <c r="V15" s="68">
        <f>'Summary Sheet'!$C$31</f>
        <v>0</v>
      </c>
      <c r="W15" s="10" t="e">
        <f>'Summary Sheet'!$C$26-'Summary Sheet'!$C$27</f>
        <v>#DIV/0!</v>
      </c>
      <c r="X15" t="e">
        <f>(P15*U15*W15*'Summary Sheet'!$C$6)+(P15*V15*W15*'Summary Sheet'!$C$6)</f>
        <v>#DIV/0!</v>
      </c>
      <c r="AA15">
        <v>2020</v>
      </c>
      <c r="AB15" s="68">
        <f>'E- &amp; NG Prices'!R66</f>
        <v>17.74741665984359</v>
      </c>
      <c r="AC15" s="68">
        <f>'E- &amp; NG Prices'!S66</f>
        <v>21.204405965259635</v>
      </c>
      <c r="AD15" s="68">
        <f>'E- &amp; NG Prices'!T66</f>
        <v>17.140107147404052</v>
      </c>
      <c r="AE15" s="68">
        <f>'E- &amp; NG Prices'!U66</f>
        <v>14.897736866867078</v>
      </c>
      <c r="AF15" s="5"/>
      <c r="AG15" s="5"/>
      <c r="AH15" s="68">
        <f>'Summary Sheet'!$D$30</f>
        <v>0</v>
      </c>
      <c r="AI15" s="68">
        <f>'Summary Sheet'!$D$31</f>
        <v>0</v>
      </c>
      <c r="AJ15" s="10" t="e">
        <f>'Summary Sheet'!$D$26-'Summary Sheet'!$D$27</f>
        <v>#DIV/0!</v>
      </c>
      <c r="AK15" t="e">
        <f>(AC15*AH15*AJ15*'Summary Sheet'!$D$6)+(AC15*AI15*AJ15*'Summary Sheet'!$D$6)</f>
        <v>#DIV/0!</v>
      </c>
      <c r="AN15">
        <v>2020</v>
      </c>
      <c r="AO15" s="68">
        <f>'E- &amp; NG Prices'!AA66</f>
        <v>17.74741665984359</v>
      </c>
      <c r="AP15" s="68">
        <f>'E- &amp; NG Prices'!AB66</f>
        <v>21.204405965259635</v>
      </c>
      <c r="AQ15" s="68">
        <f>'E- &amp; NG Prices'!AC66</f>
        <v>17.140107147404052</v>
      </c>
      <c r="AR15" s="68">
        <f>'E- &amp; NG Prices'!AD66</f>
        <v>14.897736866867078</v>
      </c>
      <c r="AS15" s="5"/>
      <c r="AT15" s="5"/>
      <c r="AU15" s="68">
        <f>'Summary Sheet'!$E$30</f>
        <v>0</v>
      </c>
      <c r="AV15" s="68">
        <f>'Summary Sheet'!$E$31</f>
        <v>0</v>
      </c>
      <c r="AW15" s="10" t="e">
        <f>'Summary Sheet'!$E$26-'Summary Sheet'!$E$27</f>
        <v>#DIV/0!</v>
      </c>
      <c r="AX15" t="e">
        <f>(AP15*AU15*AW15*'Summary Sheet'!$E$6)+(AP15*AV15*AW15*'Summary Sheet'!$E$6)</f>
        <v>#DIV/0!</v>
      </c>
      <c r="BA15">
        <v>2020</v>
      </c>
      <c r="BB15" s="68">
        <f>'E- &amp; NG Prices'!B66</f>
        <v>17.74741665984359</v>
      </c>
      <c r="BC15" s="68">
        <f>'E- &amp; NG Prices'!C66</f>
        <v>21.204405965259635</v>
      </c>
      <c r="BD15" s="68">
        <f>'E- &amp; NG Prices'!D66</f>
        <v>17.140107147404052</v>
      </c>
      <c r="BE15" s="68">
        <f>'E- &amp; NG Prices'!E66</f>
        <v>14.897736866867078</v>
      </c>
      <c r="BF15" s="5"/>
      <c r="BG15" s="5"/>
      <c r="BH15" s="68">
        <f>'Summary Sheet'!$F$30</f>
        <v>0</v>
      </c>
      <c r="BI15" s="68">
        <f>'Summary Sheet'!$F$31</f>
        <v>0</v>
      </c>
      <c r="BJ15" s="10" t="e">
        <f>'Summary Sheet'!$F$26-'Summary Sheet'!$F$27</f>
        <v>#DIV/0!</v>
      </c>
      <c r="BK15" t="e">
        <f>(BC15*BH15*BJ15*'Summary Sheet'!$F$6)+(BC15*BI15*BJ15*'Summary Sheet'!$F$6)</f>
        <v>#DIV/0!</v>
      </c>
      <c r="BN15">
        <v>2020</v>
      </c>
      <c r="BO15" s="68">
        <f>'E- &amp; NG Prices'!B66</f>
        <v>17.74741665984359</v>
      </c>
      <c r="BP15" s="68">
        <f>'E- &amp; NG Prices'!C66</f>
        <v>21.204405965259635</v>
      </c>
      <c r="BQ15" s="68">
        <f>'E- &amp; NG Prices'!D66</f>
        <v>17.140107147404052</v>
      </c>
      <c r="BR15" s="68">
        <f>'E- &amp; NG Prices'!E66</f>
        <v>14.897736866867078</v>
      </c>
      <c r="BS15" s="5"/>
      <c r="BT15" s="5"/>
      <c r="BU15" s="68">
        <f>'Summary Sheet'!$G$30</f>
        <v>0</v>
      </c>
      <c r="BV15" s="68">
        <f>'Summary Sheet'!$G$31</f>
        <v>0</v>
      </c>
      <c r="BW15" s="10" t="e">
        <f>'Summary Sheet'!$G$26-'Summary Sheet'!$G$27</f>
        <v>#DIV/0!</v>
      </c>
      <c r="BX15" t="e">
        <f>(BP15*BU15*BW15*'Summary Sheet'!$G$6)+(BP15*BV15*BW15*'Summary Sheet'!$G$6)</f>
        <v>#DIV/0!</v>
      </c>
    </row>
    <row r="16" spans="1:76" ht="12.75">
      <c r="A16">
        <v>2021</v>
      </c>
      <c r="B16" s="68">
        <f>'E- &amp; NG Prices'!B67</f>
        <v>18.355868125111524</v>
      </c>
      <c r="C16" s="68">
        <f>'E- &amp; NG Prices'!C67</f>
        <v>21.816891979076583</v>
      </c>
      <c r="D16" s="68">
        <f>'E- &amp; NG Prices'!D67</f>
        <v>17.7049785351948</v>
      </c>
      <c r="E16" s="68">
        <f>'E- &amp; NG Prices'!E67</f>
        <v>15.54573386106318</v>
      </c>
      <c r="F16" s="5"/>
      <c r="G16" s="5"/>
      <c r="H16" s="68">
        <f>'Summary Sheet'!$B$30</f>
        <v>0</v>
      </c>
      <c r="I16" s="68">
        <f>'Summary Sheet'!$B$31</f>
        <v>0</v>
      </c>
      <c r="J16" s="10" t="e">
        <f>'Summary Sheet'!$B$26-'Summary Sheet'!$B$27</f>
        <v>#DIV/0!</v>
      </c>
      <c r="K16" t="e">
        <f>(C16*H16*J16*'Summary Sheet'!$B$6)+(C16*I16*J16*'Summary Sheet'!$B$6)</f>
        <v>#DIV/0!</v>
      </c>
      <c r="N16">
        <v>2021</v>
      </c>
      <c r="O16" s="68">
        <f>'E- &amp; NG Prices'!J67</f>
        <v>18.355868125111524</v>
      </c>
      <c r="P16" s="68">
        <f>'E- &amp; NG Prices'!K67</f>
        <v>21.816891979076583</v>
      </c>
      <c r="Q16" s="68">
        <f>'E- &amp; NG Prices'!L67</f>
        <v>17.7049785351948</v>
      </c>
      <c r="R16" s="68">
        <f>'E- &amp; NG Prices'!M67</f>
        <v>15.54573386106318</v>
      </c>
      <c r="S16" s="5"/>
      <c r="T16" s="5"/>
      <c r="U16" s="68">
        <f>'Summary Sheet'!$C$30</f>
        <v>0</v>
      </c>
      <c r="V16" s="68">
        <f>'Summary Sheet'!$C$31</f>
        <v>0</v>
      </c>
      <c r="W16" s="10" t="e">
        <f>'Summary Sheet'!$C$26-'Summary Sheet'!$C$27</f>
        <v>#DIV/0!</v>
      </c>
      <c r="X16" t="e">
        <f>(P16*U16*W16*'Summary Sheet'!$C$6)+(P16*V16*W16*'Summary Sheet'!$C$6)</f>
        <v>#DIV/0!</v>
      </c>
      <c r="AA16">
        <v>2021</v>
      </c>
      <c r="AB16" s="68">
        <f>'E- &amp; NG Prices'!R67</f>
        <v>18.355868125111524</v>
      </c>
      <c r="AC16" s="68">
        <f>'E- &amp; NG Prices'!S67</f>
        <v>21.816891979076583</v>
      </c>
      <c r="AD16" s="68">
        <f>'E- &amp; NG Prices'!T67</f>
        <v>17.7049785351948</v>
      </c>
      <c r="AE16" s="68">
        <f>'E- &amp; NG Prices'!U67</f>
        <v>15.54573386106318</v>
      </c>
      <c r="AF16" s="5"/>
      <c r="AG16" s="5"/>
      <c r="AH16" s="68">
        <f>'Summary Sheet'!$D$30</f>
        <v>0</v>
      </c>
      <c r="AI16" s="68">
        <f>'Summary Sheet'!$D$31</f>
        <v>0</v>
      </c>
      <c r="AJ16" s="10" t="e">
        <f>'Summary Sheet'!$D$26-'Summary Sheet'!$D$27</f>
        <v>#DIV/0!</v>
      </c>
      <c r="AK16" t="e">
        <f>(AC16*AH16*AJ16*'Summary Sheet'!$D$6)+(AC16*AI16*AJ16*'Summary Sheet'!$D$6)</f>
        <v>#DIV/0!</v>
      </c>
      <c r="AN16">
        <v>2021</v>
      </c>
      <c r="AO16" s="68">
        <f>'E- &amp; NG Prices'!AA67</f>
        <v>18.355868125111524</v>
      </c>
      <c r="AP16" s="68">
        <f>'E- &amp; NG Prices'!AB67</f>
        <v>21.816891979076583</v>
      </c>
      <c r="AQ16" s="68">
        <f>'E- &amp; NG Prices'!AC67</f>
        <v>17.7049785351948</v>
      </c>
      <c r="AR16" s="68">
        <f>'E- &amp; NG Prices'!AD67</f>
        <v>15.54573386106318</v>
      </c>
      <c r="AS16" s="5"/>
      <c r="AT16" s="5"/>
      <c r="AU16" s="68">
        <f>'Summary Sheet'!$E$30</f>
        <v>0</v>
      </c>
      <c r="AV16" s="68">
        <f>'Summary Sheet'!$E$31</f>
        <v>0</v>
      </c>
      <c r="AW16" s="10" t="e">
        <f>'Summary Sheet'!$E$26-'Summary Sheet'!$E$27</f>
        <v>#DIV/0!</v>
      </c>
      <c r="AX16" t="e">
        <f>(AP16*AU16*AW16*'Summary Sheet'!$E$6)+(AP16*AV16*AW16*'Summary Sheet'!$E$6)</f>
        <v>#DIV/0!</v>
      </c>
      <c r="BA16">
        <v>2021</v>
      </c>
      <c r="BB16" s="68">
        <f>'E- &amp; NG Prices'!B67</f>
        <v>18.355868125111524</v>
      </c>
      <c r="BC16" s="68">
        <f>'E- &amp; NG Prices'!C67</f>
        <v>21.816891979076583</v>
      </c>
      <c r="BD16" s="68">
        <f>'E- &amp; NG Prices'!D67</f>
        <v>17.7049785351948</v>
      </c>
      <c r="BE16" s="68">
        <f>'E- &amp; NG Prices'!E67</f>
        <v>15.54573386106318</v>
      </c>
      <c r="BF16" s="5"/>
      <c r="BG16" s="5"/>
      <c r="BH16" s="68">
        <f>'Summary Sheet'!$F$30</f>
        <v>0</v>
      </c>
      <c r="BI16" s="68">
        <f>'Summary Sheet'!$F$31</f>
        <v>0</v>
      </c>
      <c r="BJ16" s="10" t="e">
        <f>'Summary Sheet'!$F$26-'Summary Sheet'!$F$27</f>
        <v>#DIV/0!</v>
      </c>
      <c r="BK16" t="e">
        <f>(BC16*BH16*BJ16*'Summary Sheet'!$F$6)+(BC16*BI16*BJ16*'Summary Sheet'!$F$6)</f>
        <v>#DIV/0!</v>
      </c>
      <c r="BN16">
        <v>2021</v>
      </c>
      <c r="BO16" s="68">
        <f>'E- &amp; NG Prices'!B67</f>
        <v>18.355868125111524</v>
      </c>
      <c r="BP16" s="68">
        <f>'E- &amp; NG Prices'!C67</f>
        <v>21.816891979076583</v>
      </c>
      <c r="BQ16" s="68">
        <f>'E- &amp; NG Prices'!D67</f>
        <v>17.7049785351948</v>
      </c>
      <c r="BR16" s="68">
        <f>'E- &amp; NG Prices'!E67</f>
        <v>15.54573386106318</v>
      </c>
      <c r="BS16" s="5"/>
      <c r="BT16" s="5"/>
      <c r="BU16" s="68">
        <f>'Summary Sheet'!$G$30</f>
        <v>0</v>
      </c>
      <c r="BV16" s="68">
        <f>'Summary Sheet'!$G$31</f>
        <v>0</v>
      </c>
      <c r="BW16" s="10" t="e">
        <f>'Summary Sheet'!$G$26-'Summary Sheet'!$G$27</f>
        <v>#DIV/0!</v>
      </c>
      <c r="BX16" t="e">
        <f>(BP16*BU16*BW16*'Summary Sheet'!$G$6)+(BP16*BV16*BW16*'Summary Sheet'!$G$6)</f>
        <v>#DIV/0!</v>
      </c>
    </row>
    <row r="17" spans="1:76" ht="12.75">
      <c r="A17">
        <v>2022</v>
      </c>
      <c r="B17" s="68">
        <f>'E- &amp; NG Prices'!B68</f>
        <v>18.98581726657501</v>
      </c>
      <c r="C17" s="68">
        <f>'E- &amp; NG Prices'!C68</f>
        <v>22.44706955745497</v>
      </c>
      <c r="D17" s="68">
        <f>'E- &amp; NG Prices'!D68</f>
        <v>18.288465890902234</v>
      </c>
      <c r="E17" s="68">
        <f>'E- &amp; NG Prices'!E68</f>
        <v>16.221916351367824</v>
      </c>
      <c r="F17" s="5"/>
      <c r="G17" s="5"/>
      <c r="H17" s="68">
        <f>'Summary Sheet'!$B$30</f>
        <v>0</v>
      </c>
      <c r="I17" s="68">
        <f>'Summary Sheet'!$B$31</f>
        <v>0</v>
      </c>
      <c r="J17" s="10" t="e">
        <f>'Summary Sheet'!$B$26-'Summary Sheet'!$B$27</f>
        <v>#DIV/0!</v>
      </c>
      <c r="K17" t="e">
        <f>(C17*H17*J17*'Summary Sheet'!$B$6)+(C17*I17*J17*'Summary Sheet'!$B$6)</f>
        <v>#DIV/0!</v>
      </c>
      <c r="N17">
        <v>2022</v>
      </c>
      <c r="O17" s="68">
        <f>'E- &amp; NG Prices'!J68</f>
        <v>18.98581726657501</v>
      </c>
      <c r="P17" s="68">
        <f>'E- &amp; NG Prices'!K68</f>
        <v>22.44706955745497</v>
      </c>
      <c r="Q17" s="68">
        <f>'E- &amp; NG Prices'!L68</f>
        <v>18.288465890902234</v>
      </c>
      <c r="R17" s="68">
        <f>'E- &amp; NG Prices'!M68</f>
        <v>16.221916351367824</v>
      </c>
      <c r="S17" s="5"/>
      <c r="T17" s="5"/>
      <c r="U17" s="68">
        <f>'Summary Sheet'!$C$30</f>
        <v>0</v>
      </c>
      <c r="V17" s="68">
        <f>'Summary Sheet'!$C$31</f>
        <v>0</v>
      </c>
      <c r="W17" s="10" t="e">
        <f>'Summary Sheet'!$C$26-'Summary Sheet'!$C$27</f>
        <v>#DIV/0!</v>
      </c>
      <c r="X17" t="e">
        <f>(P17*U17*W17*'Summary Sheet'!$C$6)+(P17*V17*W17*'Summary Sheet'!$C$6)</f>
        <v>#DIV/0!</v>
      </c>
      <c r="AA17">
        <v>2022</v>
      </c>
      <c r="AB17" s="68">
        <f>'E- &amp; NG Prices'!R68</f>
        <v>18.98581726657501</v>
      </c>
      <c r="AC17" s="68">
        <f>'E- &amp; NG Prices'!S68</f>
        <v>22.44706955745497</v>
      </c>
      <c r="AD17" s="68">
        <f>'E- &amp; NG Prices'!T68</f>
        <v>18.288465890902234</v>
      </c>
      <c r="AE17" s="68">
        <f>'E- &amp; NG Prices'!U68</f>
        <v>16.221916351367824</v>
      </c>
      <c r="AF17" s="5"/>
      <c r="AG17" s="5"/>
      <c r="AH17" s="68">
        <f>'Summary Sheet'!$D$30</f>
        <v>0</v>
      </c>
      <c r="AI17" s="68">
        <f>'Summary Sheet'!$D$31</f>
        <v>0</v>
      </c>
      <c r="AJ17" s="10" t="e">
        <f>'Summary Sheet'!$D$26-'Summary Sheet'!$D$27</f>
        <v>#DIV/0!</v>
      </c>
      <c r="AK17" t="e">
        <f>(AC17*AH17*AJ17*'Summary Sheet'!$D$6)+(AC17*AI17*AJ17*'Summary Sheet'!$D$6)</f>
        <v>#DIV/0!</v>
      </c>
      <c r="AN17">
        <v>2022</v>
      </c>
      <c r="AO17" s="68">
        <f>'E- &amp; NG Prices'!AA68</f>
        <v>18.98581726657501</v>
      </c>
      <c r="AP17" s="68">
        <f>'E- &amp; NG Prices'!AB68</f>
        <v>22.44706955745497</v>
      </c>
      <c r="AQ17" s="68">
        <f>'E- &amp; NG Prices'!AC68</f>
        <v>18.288465890902234</v>
      </c>
      <c r="AR17" s="68">
        <f>'E- &amp; NG Prices'!AD68</f>
        <v>16.221916351367824</v>
      </c>
      <c r="AS17" s="5"/>
      <c r="AT17" s="5"/>
      <c r="AU17" s="68">
        <f>'Summary Sheet'!$E$30</f>
        <v>0</v>
      </c>
      <c r="AV17" s="68">
        <f>'Summary Sheet'!$E$31</f>
        <v>0</v>
      </c>
      <c r="AW17" s="10" t="e">
        <f>'Summary Sheet'!$E$26-'Summary Sheet'!$E$27</f>
        <v>#DIV/0!</v>
      </c>
      <c r="AX17" t="e">
        <f>(AP17*AU17*AW17*'Summary Sheet'!$E$6)+(AP17*AV17*AW17*'Summary Sheet'!$E$6)</f>
        <v>#DIV/0!</v>
      </c>
      <c r="BA17">
        <v>2022</v>
      </c>
      <c r="BB17" s="68">
        <f>'E- &amp; NG Prices'!B68</f>
        <v>18.98581726657501</v>
      </c>
      <c r="BC17" s="68">
        <f>'E- &amp; NG Prices'!C68</f>
        <v>22.44706955745497</v>
      </c>
      <c r="BD17" s="68">
        <f>'E- &amp; NG Prices'!D68</f>
        <v>18.288465890902234</v>
      </c>
      <c r="BE17" s="68">
        <f>'E- &amp; NG Prices'!E68</f>
        <v>16.221916351367824</v>
      </c>
      <c r="BF17" s="5"/>
      <c r="BG17" s="5"/>
      <c r="BH17" s="68">
        <f>'Summary Sheet'!$F$30</f>
        <v>0</v>
      </c>
      <c r="BI17" s="68">
        <f>'Summary Sheet'!$F$31</f>
        <v>0</v>
      </c>
      <c r="BJ17" s="10" t="e">
        <f>'Summary Sheet'!$F$26-'Summary Sheet'!$F$27</f>
        <v>#DIV/0!</v>
      </c>
      <c r="BK17" t="e">
        <f>(BC17*BH17*BJ17*'Summary Sheet'!$F$6)+(BC17*BI17*BJ17*'Summary Sheet'!$F$6)</f>
        <v>#DIV/0!</v>
      </c>
      <c r="BN17">
        <v>2022</v>
      </c>
      <c r="BO17" s="68">
        <f>'E- &amp; NG Prices'!B68</f>
        <v>18.98581726657501</v>
      </c>
      <c r="BP17" s="68">
        <f>'E- &amp; NG Prices'!C68</f>
        <v>22.44706955745497</v>
      </c>
      <c r="BQ17" s="68">
        <f>'E- &amp; NG Prices'!D68</f>
        <v>18.288465890902234</v>
      </c>
      <c r="BR17" s="68">
        <f>'E- &amp; NG Prices'!E68</f>
        <v>16.221916351367824</v>
      </c>
      <c r="BS17" s="5"/>
      <c r="BT17" s="5"/>
      <c r="BU17" s="68">
        <f>'Summary Sheet'!$G$30</f>
        <v>0</v>
      </c>
      <c r="BV17" s="68">
        <f>'Summary Sheet'!$G$31</f>
        <v>0</v>
      </c>
      <c r="BW17" s="10" t="e">
        <f>'Summary Sheet'!$G$26-'Summary Sheet'!$G$27</f>
        <v>#DIV/0!</v>
      </c>
      <c r="BX17" t="e">
        <f>(BP17*BU17*BW17*'Summary Sheet'!$G$6)+(BP17*BV17*BW17*'Summary Sheet'!$G$6)</f>
        <v>#DIV/0!</v>
      </c>
    </row>
    <row r="18" spans="1:76" ht="12.75">
      <c r="A18">
        <v>2023</v>
      </c>
      <c r="B18" s="68">
        <f>'E- &amp; NG Prices'!B69</f>
        <v>19.638047582239224</v>
      </c>
      <c r="C18" s="68">
        <f>'E- &amp; NG Prices'!C69</f>
        <v>23.09544971852349</v>
      </c>
      <c r="D18" s="68">
        <f>'E- &amp; NG Prices'!D69</f>
        <v>18.891182724555303</v>
      </c>
      <c r="E18" s="68">
        <f>'E- &amp; NG Prices'!E69</f>
        <v>16.92751030363888</v>
      </c>
      <c r="F18" s="5"/>
      <c r="G18" s="5"/>
      <c r="H18" s="68">
        <f>'Summary Sheet'!$B$30</f>
        <v>0</v>
      </c>
      <c r="I18" s="68">
        <f>'Summary Sheet'!$B$31</f>
        <v>0</v>
      </c>
      <c r="J18" s="10" t="e">
        <f>'Summary Sheet'!$B$26-'Summary Sheet'!$B$27</f>
        <v>#DIV/0!</v>
      </c>
      <c r="K18" t="e">
        <f>(C18*H18*J18*'Summary Sheet'!$B$6)+(C18*I18*J18*'Summary Sheet'!$B$6)</f>
        <v>#DIV/0!</v>
      </c>
      <c r="N18">
        <v>2023</v>
      </c>
      <c r="O18" s="68">
        <f>'E- &amp; NG Prices'!J69</f>
        <v>19.638047582239224</v>
      </c>
      <c r="P18" s="68">
        <f>'E- &amp; NG Prices'!K69</f>
        <v>23.09544971852349</v>
      </c>
      <c r="Q18" s="68">
        <f>'E- &amp; NG Prices'!L69</f>
        <v>18.891182724555303</v>
      </c>
      <c r="R18" s="68">
        <f>'E- &amp; NG Prices'!M69</f>
        <v>16.92751030363888</v>
      </c>
      <c r="S18" s="5"/>
      <c r="T18" s="5"/>
      <c r="U18" s="68">
        <f>'Summary Sheet'!$C$30</f>
        <v>0</v>
      </c>
      <c r="V18" s="68">
        <f>'Summary Sheet'!$C$31</f>
        <v>0</v>
      </c>
      <c r="W18" s="10" t="e">
        <f>'Summary Sheet'!$C$26-'Summary Sheet'!$C$27</f>
        <v>#DIV/0!</v>
      </c>
      <c r="X18" t="e">
        <f>(P18*U18*W18*'Summary Sheet'!$C$6)+(P18*V18*W18*'Summary Sheet'!$C$6)</f>
        <v>#DIV/0!</v>
      </c>
      <c r="AA18">
        <v>2023</v>
      </c>
      <c r="AB18" s="68">
        <f>'E- &amp; NG Prices'!R69</f>
        <v>19.638047582239224</v>
      </c>
      <c r="AC18" s="68">
        <f>'E- &amp; NG Prices'!S69</f>
        <v>23.09544971852349</v>
      </c>
      <c r="AD18" s="68">
        <f>'E- &amp; NG Prices'!T69</f>
        <v>18.891182724555303</v>
      </c>
      <c r="AE18" s="68">
        <f>'E- &amp; NG Prices'!U69</f>
        <v>16.92751030363888</v>
      </c>
      <c r="AF18" s="5"/>
      <c r="AG18" s="5"/>
      <c r="AH18" s="68">
        <f>'Summary Sheet'!$D$30</f>
        <v>0</v>
      </c>
      <c r="AI18" s="68">
        <f>'Summary Sheet'!$D$31</f>
        <v>0</v>
      </c>
      <c r="AJ18" s="10" t="e">
        <f>'Summary Sheet'!$D$26-'Summary Sheet'!$D$27</f>
        <v>#DIV/0!</v>
      </c>
      <c r="AK18" t="e">
        <f>(AC18*AH18*AJ18*'Summary Sheet'!$D$6)+(AC18*AI18*AJ18*'Summary Sheet'!$D$6)</f>
        <v>#DIV/0!</v>
      </c>
      <c r="AN18">
        <v>2023</v>
      </c>
      <c r="AO18" s="68">
        <f>'E- &amp; NG Prices'!AA69</f>
        <v>19.638047582239224</v>
      </c>
      <c r="AP18" s="68">
        <f>'E- &amp; NG Prices'!AB69</f>
        <v>23.09544971852349</v>
      </c>
      <c r="AQ18" s="68">
        <f>'E- &amp; NG Prices'!AC69</f>
        <v>18.891182724555303</v>
      </c>
      <c r="AR18" s="68">
        <f>'E- &amp; NG Prices'!AD69</f>
        <v>16.92751030363888</v>
      </c>
      <c r="AS18" s="5"/>
      <c r="AT18" s="5"/>
      <c r="AU18" s="68">
        <f>'Summary Sheet'!$E$30</f>
        <v>0</v>
      </c>
      <c r="AV18" s="68">
        <f>'Summary Sheet'!$E$31</f>
        <v>0</v>
      </c>
      <c r="AW18" s="10" t="e">
        <f>'Summary Sheet'!$E$26-'Summary Sheet'!$E$27</f>
        <v>#DIV/0!</v>
      </c>
      <c r="AX18" t="e">
        <f>(AP18*AU18*AW18*'Summary Sheet'!$E$6)+(AP18*AV18*AW18*'Summary Sheet'!$E$6)</f>
        <v>#DIV/0!</v>
      </c>
      <c r="BA18">
        <v>2023</v>
      </c>
      <c r="BB18" s="68">
        <f>'E- &amp; NG Prices'!B69</f>
        <v>19.638047582239224</v>
      </c>
      <c r="BC18" s="68">
        <f>'E- &amp; NG Prices'!C69</f>
        <v>23.09544971852349</v>
      </c>
      <c r="BD18" s="68">
        <f>'E- &amp; NG Prices'!D69</f>
        <v>18.891182724555303</v>
      </c>
      <c r="BE18" s="68">
        <f>'E- &amp; NG Prices'!E69</f>
        <v>16.92751030363888</v>
      </c>
      <c r="BF18" s="5"/>
      <c r="BG18" s="5"/>
      <c r="BH18" s="68">
        <f>'Summary Sheet'!$F$30</f>
        <v>0</v>
      </c>
      <c r="BI18" s="68">
        <f>'Summary Sheet'!$F$31</f>
        <v>0</v>
      </c>
      <c r="BJ18" s="10" t="e">
        <f>'Summary Sheet'!$F$26-'Summary Sheet'!$F$27</f>
        <v>#DIV/0!</v>
      </c>
      <c r="BK18" t="e">
        <f>(BC18*BH18*BJ18*'Summary Sheet'!$F$6)+(BC18*BI18*BJ18*'Summary Sheet'!$F$6)</f>
        <v>#DIV/0!</v>
      </c>
      <c r="BN18">
        <v>2023</v>
      </c>
      <c r="BO18" s="68">
        <f>'E- &amp; NG Prices'!B69</f>
        <v>19.638047582239224</v>
      </c>
      <c r="BP18" s="68">
        <f>'E- &amp; NG Prices'!C69</f>
        <v>23.09544971852349</v>
      </c>
      <c r="BQ18" s="68">
        <f>'E- &amp; NG Prices'!D69</f>
        <v>18.891182724555303</v>
      </c>
      <c r="BR18" s="68">
        <f>'E- &amp; NG Prices'!E69</f>
        <v>16.92751030363888</v>
      </c>
      <c r="BS18" s="5"/>
      <c r="BT18" s="5"/>
      <c r="BU18" s="68">
        <f>'Summary Sheet'!$G$30</f>
        <v>0</v>
      </c>
      <c r="BV18" s="68">
        <f>'Summary Sheet'!$G$31</f>
        <v>0</v>
      </c>
      <c r="BW18" s="10" t="e">
        <f>'Summary Sheet'!$G$26-'Summary Sheet'!$G$27</f>
        <v>#DIV/0!</v>
      </c>
      <c r="BX18" t="e">
        <f>(BP18*BU18*BW18*'Summary Sheet'!$G$6)+(BP18*BV18*BW18*'Summary Sheet'!$G$6)</f>
        <v>#DIV/0!</v>
      </c>
    </row>
    <row r="19" spans="1:76" ht="12.75">
      <c r="A19">
        <v>2024</v>
      </c>
      <c r="B19" s="68">
        <f>'E- &amp; NG Prices'!B70</f>
        <v>20.313372004980653</v>
      </c>
      <c r="C19" s="68">
        <f>'E- &amp; NG Prices'!C70</f>
        <v>23.762558241091103</v>
      </c>
      <c r="D19" s="68">
        <f>'E- &amp; NG Prices'!D70</f>
        <v>19.513762765091652</v>
      </c>
      <c r="E19" s="68">
        <f>'E- &amp; NG Prices'!E70</f>
        <v>17.663795008759212</v>
      </c>
      <c r="F19" s="5"/>
      <c r="G19" s="5"/>
      <c r="H19" s="68">
        <f>'Summary Sheet'!$B$30</f>
        <v>0</v>
      </c>
      <c r="I19" s="68">
        <f>'Summary Sheet'!$B$31</f>
        <v>0</v>
      </c>
      <c r="J19" s="10" t="e">
        <f>'Summary Sheet'!$B$26-'Summary Sheet'!$B$27</f>
        <v>#DIV/0!</v>
      </c>
      <c r="K19" t="e">
        <f>(C19*H19*J19*'Summary Sheet'!$B$6)+(C19*I19*J19*'Summary Sheet'!$B$6)</f>
        <v>#DIV/0!</v>
      </c>
      <c r="N19">
        <v>2024</v>
      </c>
      <c r="O19" s="68">
        <f>'E- &amp; NG Prices'!J70</f>
        <v>20.313372004980653</v>
      </c>
      <c r="P19" s="68">
        <f>'E- &amp; NG Prices'!K70</f>
        <v>23.762558241091103</v>
      </c>
      <c r="Q19" s="68">
        <f>'E- &amp; NG Prices'!L70</f>
        <v>19.513762765091652</v>
      </c>
      <c r="R19" s="68">
        <f>'E- &amp; NG Prices'!M70</f>
        <v>17.663795008759212</v>
      </c>
      <c r="S19" s="5"/>
      <c r="T19" s="5"/>
      <c r="U19" s="68">
        <f>'Summary Sheet'!$C$30</f>
        <v>0</v>
      </c>
      <c r="V19" s="68">
        <f>'Summary Sheet'!$C$31</f>
        <v>0</v>
      </c>
      <c r="W19" s="10" t="e">
        <f>'Summary Sheet'!$C$26-'Summary Sheet'!$C$27</f>
        <v>#DIV/0!</v>
      </c>
      <c r="X19" t="e">
        <f>(P19*U19*W19*'Summary Sheet'!$C$6)+(P19*V19*W19*'Summary Sheet'!$C$6)</f>
        <v>#DIV/0!</v>
      </c>
      <c r="AA19">
        <v>2024</v>
      </c>
      <c r="AB19" s="68">
        <f>'E- &amp; NG Prices'!R70</f>
        <v>20.313372004980653</v>
      </c>
      <c r="AC19" s="68">
        <f>'E- &amp; NG Prices'!S70</f>
        <v>23.762558241091103</v>
      </c>
      <c r="AD19" s="68">
        <f>'E- &amp; NG Prices'!T70</f>
        <v>19.513762765091652</v>
      </c>
      <c r="AE19" s="68">
        <f>'E- &amp; NG Prices'!U70</f>
        <v>17.663795008759212</v>
      </c>
      <c r="AF19" s="5"/>
      <c r="AG19" s="5"/>
      <c r="AH19" s="68">
        <f>'Summary Sheet'!$D$30</f>
        <v>0</v>
      </c>
      <c r="AI19" s="68">
        <f>'Summary Sheet'!$D$31</f>
        <v>0</v>
      </c>
      <c r="AJ19" s="10" t="e">
        <f>'Summary Sheet'!$D$26-'Summary Sheet'!$D$27</f>
        <v>#DIV/0!</v>
      </c>
      <c r="AK19" t="e">
        <f>(AC19*AH19*AJ19*'Summary Sheet'!$D$6)+(AC19*AI19*AJ19*'Summary Sheet'!$D$6)</f>
        <v>#DIV/0!</v>
      </c>
      <c r="AN19">
        <v>2024</v>
      </c>
      <c r="AO19" s="68">
        <f>'E- &amp; NG Prices'!AA70</f>
        <v>20.313372004980653</v>
      </c>
      <c r="AP19" s="68">
        <f>'E- &amp; NG Prices'!AB70</f>
        <v>23.762558241091103</v>
      </c>
      <c r="AQ19" s="68">
        <f>'E- &amp; NG Prices'!AC70</f>
        <v>19.513762765091652</v>
      </c>
      <c r="AR19" s="68">
        <f>'E- &amp; NG Prices'!AD70</f>
        <v>17.663795008759212</v>
      </c>
      <c r="AS19" s="5"/>
      <c r="AT19" s="5"/>
      <c r="AU19" s="68">
        <f>'Summary Sheet'!$E$30</f>
        <v>0</v>
      </c>
      <c r="AV19" s="68">
        <f>'Summary Sheet'!$E$31</f>
        <v>0</v>
      </c>
      <c r="AW19" s="10" t="e">
        <f>'Summary Sheet'!$E$26-'Summary Sheet'!$E$27</f>
        <v>#DIV/0!</v>
      </c>
      <c r="AX19" t="e">
        <f>(AP19*AU19*AW19*'Summary Sheet'!$E$6)+(AP19*AV19*AW19*'Summary Sheet'!$E$6)</f>
        <v>#DIV/0!</v>
      </c>
      <c r="BA19">
        <v>2024</v>
      </c>
      <c r="BB19" s="68">
        <f>'E- &amp; NG Prices'!B70</f>
        <v>20.313372004980653</v>
      </c>
      <c r="BC19" s="68">
        <f>'E- &amp; NG Prices'!C70</f>
        <v>23.762558241091103</v>
      </c>
      <c r="BD19" s="68">
        <f>'E- &amp; NG Prices'!D70</f>
        <v>19.513762765091652</v>
      </c>
      <c r="BE19" s="68">
        <f>'E- &amp; NG Prices'!E70</f>
        <v>17.663795008759212</v>
      </c>
      <c r="BF19" s="5"/>
      <c r="BG19" s="5"/>
      <c r="BH19" s="68">
        <f>'Summary Sheet'!$F$30</f>
        <v>0</v>
      </c>
      <c r="BI19" s="68">
        <f>'Summary Sheet'!$F$31</f>
        <v>0</v>
      </c>
      <c r="BJ19" s="10" t="e">
        <f>'Summary Sheet'!$F$26-'Summary Sheet'!$F$27</f>
        <v>#DIV/0!</v>
      </c>
      <c r="BK19" t="e">
        <f>(BC19*BH19*BJ19*'Summary Sheet'!$F$6)+(BC19*BI19*BJ19*'Summary Sheet'!$F$6)</f>
        <v>#DIV/0!</v>
      </c>
      <c r="BN19">
        <v>2024</v>
      </c>
      <c r="BO19" s="68">
        <f>'E- &amp; NG Prices'!B70</f>
        <v>20.313372004980653</v>
      </c>
      <c r="BP19" s="68">
        <f>'E- &amp; NG Prices'!C70</f>
        <v>23.762558241091103</v>
      </c>
      <c r="BQ19" s="68">
        <f>'E- &amp; NG Prices'!D70</f>
        <v>19.513762765091652</v>
      </c>
      <c r="BR19" s="68">
        <f>'E- &amp; NG Prices'!E70</f>
        <v>17.663795008759212</v>
      </c>
      <c r="BS19" s="5"/>
      <c r="BT19" s="5"/>
      <c r="BU19" s="68">
        <f>'Summary Sheet'!$G$30</f>
        <v>0</v>
      </c>
      <c r="BV19" s="68">
        <f>'Summary Sheet'!$G$31</f>
        <v>0</v>
      </c>
      <c r="BW19" s="10" t="e">
        <f>'Summary Sheet'!$G$26-'Summary Sheet'!$G$27</f>
        <v>#DIV/0!</v>
      </c>
      <c r="BX19" t="e">
        <f>(BP19*BU19*BW19*'Summary Sheet'!$G$6)+(BP19*BV19*BW19*'Summary Sheet'!$G$6)</f>
        <v>#DIV/0!</v>
      </c>
    </row>
    <row r="20" spans="1:76" ht="12.75">
      <c r="A20">
        <v>2025</v>
      </c>
      <c r="B20" s="68">
        <f>'E- &amp; NG Prices'!B71</f>
        <v>21.012634039927118</v>
      </c>
      <c r="C20" s="68">
        <f>'E- &amp; NG Prices'!C71</f>
        <v>24.44893609100701</v>
      </c>
      <c r="D20" s="68">
        <f>'E- &amp; NG Prices'!D71</f>
        <v>20.156860626694353</v>
      </c>
      <c r="E20" s="68">
        <f>'E- &amp; NG Prices'!E71</f>
        <v>18.432105402079987</v>
      </c>
      <c r="F20" s="5"/>
      <c r="G20" s="5"/>
      <c r="H20" s="68">
        <f>'Summary Sheet'!$B$30</f>
        <v>0</v>
      </c>
      <c r="I20" s="68">
        <f>'Summary Sheet'!$B$31</f>
        <v>0</v>
      </c>
      <c r="J20" s="10" t="e">
        <f>'Summary Sheet'!$B$26-'Summary Sheet'!$B$27</f>
        <v>#DIV/0!</v>
      </c>
      <c r="K20" t="e">
        <f>(C20*H20*J20*'Summary Sheet'!$B$6)+(C20*I20*J20*'Summary Sheet'!$B$6)</f>
        <v>#DIV/0!</v>
      </c>
      <c r="N20">
        <v>2025</v>
      </c>
      <c r="O20" s="68">
        <f>'E- &amp; NG Prices'!J71</f>
        <v>21.012634039927118</v>
      </c>
      <c r="P20" s="68">
        <f>'E- &amp; NG Prices'!K71</f>
        <v>24.44893609100701</v>
      </c>
      <c r="Q20" s="68">
        <f>'E- &amp; NG Prices'!L71</f>
        <v>20.156860626694353</v>
      </c>
      <c r="R20" s="68">
        <f>'E- &amp; NG Prices'!M71</f>
        <v>18.432105402079987</v>
      </c>
      <c r="S20" s="5"/>
      <c r="T20" s="5"/>
      <c r="U20" s="68">
        <f>'Summary Sheet'!$C$30</f>
        <v>0</v>
      </c>
      <c r="V20" s="68">
        <f>'Summary Sheet'!$C$31</f>
        <v>0</v>
      </c>
      <c r="W20" s="10" t="e">
        <f>'Summary Sheet'!$C$26-'Summary Sheet'!$C$27</f>
        <v>#DIV/0!</v>
      </c>
      <c r="X20" t="e">
        <f>(P20*U20*W20*'Summary Sheet'!$C$6)+(P20*V20*W20*'Summary Sheet'!$C$6)</f>
        <v>#DIV/0!</v>
      </c>
      <c r="AA20">
        <v>2025</v>
      </c>
      <c r="AB20" s="68">
        <f>'E- &amp; NG Prices'!R71</f>
        <v>21.012634039927118</v>
      </c>
      <c r="AC20" s="68">
        <f>'E- &amp; NG Prices'!S71</f>
        <v>24.44893609100701</v>
      </c>
      <c r="AD20" s="68">
        <f>'E- &amp; NG Prices'!T71</f>
        <v>20.156860626694353</v>
      </c>
      <c r="AE20" s="68">
        <f>'E- &amp; NG Prices'!U71</f>
        <v>18.432105402079987</v>
      </c>
      <c r="AF20" s="5"/>
      <c r="AG20" s="5"/>
      <c r="AH20" s="68">
        <f>'Summary Sheet'!$D$30</f>
        <v>0</v>
      </c>
      <c r="AI20" s="68">
        <f>'Summary Sheet'!$D$31</f>
        <v>0</v>
      </c>
      <c r="AJ20" s="10" t="e">
        <f>'Summary Sheet'!$D$26-'Summary Sheet'!$D$27</f>
        <v>#DIV/0!</v>
      </c>
      <c r="AK20" t="e">
        <f>(AC20*AH20*AJ20*'Summary Sheet'!$D$6)+(AC20*AI20*AJ20*'Summary Sheet'!$D$6)</f>
        <v>#DIV/0!</v>
      </c>
      <c r="AN20">
        <v>2025</v>
      </c>
      <c r="AO20" s="68">
        <f>'E- &amp; NG Prices'!AA71</f>
        <v>21.012634039927118</v>
      </c>
      <c r="AP20" s="68">
        <f>'E- &amp; NG Prices'!AB71</f>
        <v>24.44893609100701</v>
      </c>
      <c r="AQ20" s="68">
        <f>'E- &amp; NG Prices'!AC71</f>
        <v>20.156860626694353</v>
      </c>
      <c r="AR20" s="68">
        <f>'E- &amp; NG Prices'!AD71</f>
        <v>18.432105402079987</v>
      </c>
      <c r="AS20" s="5"/>
      <c r="AT20" s="5"/>
      <c r="AU20" s="68">
        <f>'Summary Sheet'!$E$30</f>
        <v>0</v>
      </c>
      <c r="AV20" s="68">
        <f>'Summary Sheet'!$E$31</f>
        <v>0</v>
      </c>
      <c r="AW20" s="10" t="e">
        <f>'Summary Sheet'!$E$26-'Summary Sheet'!$E$27</f>
        <v>#DIV/0!</v>
      </c>
      <c r="AX20" t="e">
        <f>(AP20*AU20*AW20*'Summary Sheet'!$E$6)+(AP20*AV20*AW20*'Summary Sheet'!$E$6)</f>
        <v>#DIV/0!</v>
      </c>
      <c r="BA20">
        <v>2025</v>
      </c>
      <c r="BB20" s="68">
        <f>'E- &amp; NG Prices'!B71</f>
        <v>21.012634039927118</v>
      </c>
      <c r="BC20" s="68">
        <f>'E- &amp; NG Prices'!C71</f>
        <v>24.44893609100701</v>
      </c>
      <c r="BD20" s="68">
        <f>'E- &amp; NG Prices'!D71</f>
        <v>20.156860626694353</v>
      </c>
      <c r="BE20" s="68">
        <f>'E- &amp; NG Prices'!E71</f>
        <v>18.432105402079987</v>
      </c>
      <c r="BF20" s="5"/>
      <c r="BG20" s="5"/>
      <c r="BH20" s="68">
        <f>'Summary Sheet'!$F$30</f>
        <v>0</v>
      </c>
      <c r="BI20" s="68">
        <f>'Summary Sheet'!$F$31</f>
        <v>0</v>
      </c>
      <c r="BJ20" s="10" t="e">
        <f>'Summary Sheet'!$F$26-'Summary Sheet'!$F$27</f>
        <v>#DIV/0!</v>
      </c>
      <c r="BK20" t="e">
        <f>(BC20*BH20*BJ20*'Summary Sheet'!$F$6)+(BC20*BI20*BJ20*'Summary Sheet'!$F$6)</f>
        <v>#DIV/0!</v>
      </c>
      <c r="BN20">
        <v>2025</v>
      </c>
      <c r="BO20" s="68">
        <f>'E- &amp; NG Prices'!B71</f>
        <v>21.012634039927118</v>
      </c>
      <c r="BP20" s="68">
        <f>'E- &amp; NG Prices'!C71</f>
        <v>24.44893609100701</v>
      </c>
      <c r="BQ20" s="68">
        <f>'E- &amp; NG Prices'!D71</f>
        <v>20.156860626694353</v>
      </c>
      <c r="BR20" s="68">
        <f>'E- &amp; NG Prices'!E71</f>
        <v>18.432105402079987</v>
      </c>
      <c r="BS20" s="5"/>
      <c r="BT20" s="5"/>
      <c r="BU20" s="68">
        <f>'Summary Sheet'!$G$30</f>
        <v>0</v>
      </c>
      <c r="BV20" s="68">
        <f>'Summary Sheet'!$G$31</f>
        <v>0</v>
      </c>
      <c r="BW20" s="10" t="e">
        <f>'Summary Sheet'!$G$26-'Summary Sheet'!$G$27</f>
        <v>#DIV/0!</v>
      </c>
      <c r="BX20" t="e">
        <f>(BP20*BU20*BW20*'Summary Sheet'!$G$6)+(BP20*BV20*BW20*'Summary Sheet'!$G$6)</f>
        <v>#DIV/0!</v>
      </c>
    </row>
    <row r="21" spans="1:76" ht="12.75">
      <c r="A21">
        <v>2026</v>
      </c>
      <c r="B21" s="68">
        <f>'E- &amp; NG Prices'!B72</f>
        <v>21.736708946891923</v>
      </c>
      <c r="C21" s="68">
        <f>'E- &amp; NG Prices'!C72</f>
        <v>25.155139859835995</v>
      </c>
      <c r="D21" s="68">
        <f>'E- &amp; NG Prices'!D72</f>
        <v>20.821152497088523</v>
      </c>
      <c r="E21" s="68">
        <f>'E- &amp; NG Prices'!E72</f>
        <v>19.233834483751256</v>
      </c>
      <c r="F21" s="5"/>
      <c r="G21" s="5"/>
      <c r="H21" s="68">
        <f>'Summary Sheet'!$B$30</f>
        <v>0</v>
      </c>
      <c r="I21" s="68">
        <f>'Summary Sheet'!$B$31</f>
        <v>0</v>
      </c>
      <c r="J21" s="10" t="e">
        <f>'Summary Sheet'!$B$26-'Summary Sheet'!$B$27</f>
        <v>#DIV/0!</v>
      </c>
      <c r="K21" t="e">
        <f>(C21*H21*J21*'Summary Sheet'!$B$6)+(C21*I21*J21*'Summary Sheet'!$B$6)</f>
        <v>#DIV/0!</v>
      </c>
      <c r="N21">
        <v>2026</v>
      </c>
      <c r="O21" s="68">
        <f>'E- &amp; NG Prices'!J72</f>
        <v>21.736708946891923</v>
      </c>
      <c r="P21" s="68">
        <f>'E- &amp; NG Prices'!K72</f>
        <v>25.155139859835995</v>
      </c>
      <c r="Q21" s="68">
        <f>'E- &amp; NG Prices'!L72</f>
        <v>20.821152497088523</v>
      </c>
      <c r="R21" s="68">
        <f>'E- &amp; NG Prices'!M72</f>
        <v>19.233834483751256</v>
      </c>
      <c r="S21" s="5"/>
      <c r="T21" s="5"/>
      <c r="U21" s="68">
        <f>'Summary Sheet'!$C$30</f>
        <v>0</v>
      </c>
      <c r="V21" s="68">
        <f>'Summary Sheet'!$C$31</f>
        <v>0</v>
      </c>
      <c r="W21" s="10" t="e">
        <f>'Summary Sheet'!$C$26-'Summary Sheet'!$C$27</f>
        <v>#DIV/0!</v>
      </c>
      <c r="X21" t="e">
        <f>(P21*U21*W21*'Summary Sheet'!$C$6)+(P21*V21*W21*'Summary Sheet'!$C$6)</f>
        <v>#DIV/0!</v>
      </c>
      <c r="AA21">
        <v>2026</v>
      </c>
      <c r="AB21" s="68">
        <f>'E- &amp; NG Prices'!R72</f>
        <v>21.736708946891923</v>
      </c>
      <c r="AC21" s="68">
        <f>'E- &amp; NG Prices'!S72</f>
        <v>25.155139859835995</v>
      </c>
      <c r="AD21" s="68">
        <f>'E- &amp; NG Prices'!T72</f>
        <v>20.821152497088523</v>
      </c>
      <c r="AE21" s="68">
        <f>'E- &amp; NG Prices'!U72</f>
        <v>19.233834483751256</v>
      </c>
      <c r="AF21" s="5"/>
      <c r="AG21" s="5"/>
      <c r="AH21" s="68">
        <f>'Summary Sheet'!$D$30</f>
        <v>0</v>
      </c>
      <c r="AI21" s="68">
        <f>'Summary Sheet'!$D$31</f>
        <v>0</v>
      </c>
      <c r="AJ21" s="10" t="e">
        <f>'Summary Sheet'!$D$26-'Summary Sheet'!$D$27</f>
        <v>#DIV/0!</v>
      </c>
      <c r="AK21" t="e">
        <f>(AC21*AH21*AJ21*'Summary Sheet'!$D$6)+(AC21*AI21*AJ21*'Summary Sheet'!$D$6)</f>
        <v>#DIV/0!</v>
      </c>
      <c r="AN21">
        <v>2026</v>
      </c>
      <c r="AO21" s="68">
        <f>'E- &amp; NG Prices'!AA72</f>
        <v>21.736708946891923</v>
      </c>
      <c r="AP21" s="68">
        <f>'E- &amp; NG Prices'!AB72</f>
        <v>25.155139859835995</v>
      </c>
      <c r="AQ21" s="68">
        <f>'E- &amp; NG Prices'!AC72</f>
        <v>20.821152497088523</v>
      </c>
      <c r="AR21" s="68">
        <f>'E- &amp; NG Prices'!AD72</f>
        <v>19.233834483751256</v>
      </c>
      <c r="AS21" s="5"/>
      <c r="AT21" s="5"/>
      <c r="AU21" s="68">
        <f>'Summary Sheet'!$E$30</f>
        <v>0</v>
      </c>
      <c r="AV21" s="68">
        <f>'Summary Sheet'!$E$31</f>
        <v>0</v>
      </c>
      <c r="AW21" s="10" t="e">
        <f>'Summary Sheet'!$E$26-'Summary Sheet'!$E$27</f>
        <v>#DIV/0!</v>
      </c>
      <c r="AX21" t="e">
        <f>(AP21*AU21*AW21*'Summary Sheet'!$E$6)+(AP21*AV21*AW21*'Summary Sheet'!$E$6)</f>
        <v>#DIV/0!</v>
      </c>
      <c r="BA21">
        <v>2026</v>
      </c>
      <c r="BB21" s="68">
        <f>'E- &amp; NG Prices'!B72</f>
        <v>21.736708946891923</v>
      </c>
      <c r="BC21" s="68">
        <f>'E- &amp; NG Prices'!C72</f>
        <v>25.155139859835995</v>
      </c>
      <c r="BD21" s="68">
        <f>'E- &amp; NG Prices'!D72</f>
        <v>20.821152497088523</v>
      </c>
      <c r="BE21" s="68">
        <f>'E- &amp; NG Prices'!E72</f>
        <v>19.233834483751256</v>
      </c>
      <c r="BF21" s="5"/>
      <c r="BG21" s="5"/>
      <c r="BH21" s="68">
        <f>'Summary Sheet'!$F$30</f>
        <v>0</v>
      </c>
      <c r="BI21" s="68">
        <f>'Summary Sheet'!$F$31</f>
        <v>0</v>
      </c>
      <c r="BJ21" s="10" t="e">
        <f>'Summary Sheet'!$F$26-'Summary Sheet'!$F$27</f>
        <v>#DIV/0!</v>
      </c>
      <c r="BK21" t="e">
        <f>(BC21*BH21*BJ21*'Summary Sheet'!$F$6)+(BC21*BI21*BJ21*'Summary Sheet'!$F$6)</f>
        <v>#DIV/0!</v>
      </c>
      <c r="BN21">
        <v>2026</v>
      </c>
      <c r="BO21" s="68">
        <f>'E- &amp; NG Prices'!B72</f>
        <v>21.736708946891923</v>
      </c>
      <c r="BP21" s="68">
        <f>'E- &amp; NG Prices'!C72</f>
        <v>25.155139859835995</v>
      </c>
      <c r="BQ21" s="68">
        <f>'E- &amp; NG Prices'!D72</f>
        <v>20.821152497088523</v>
      </c>
      <c r="BR21" s="68">
        <f>'E- &amp; NG Prices'!E72</f>
        <v>19.233834483751256</v>
      </c>
      <c r="BS21" s="5"/>
      <c r="BT21" s="5"/>
      <c r="BU21" s="68">
        <f>'Summary Sheet'!$G$30</f>
        <v>0</v>
      </c>
      <c r="BV21" s="68">
        <f>'Summary Sheet'!$G$31</f>
        <v>0</v>
      </c>
      <c r="BW21" s="10" t="e">
        <f>'Summary Sheet'!$G$26-'Summary Sheet'!$G$27</f>
        <v>#DIV/0!</v>
      </c>
      <c r="BX21" t="e">
        <f>(BP21*BU21*BW21*'Summary Sheet'!$G$6)+(BP21*BV21*BW21*'Summary Sheet'!$G$6)</f>
        <v>#DIV/0!</v>
      </c>
    </row>
    <row r="22" spans="1:76" ht="12.75">
      <c r="A22">
        <v>2027</v>
      </c>
      <c r="B22" s="68">
        <f>'E- &amp; NG Prices'!B73</f>
        <v>22.48650496968479</v>
      </c>
      <c r="C22" s="68">
        <f>'E- &amp; NG Prices'!C73</f>
        <v>25.881742216204817</v>
      </c>
      <c r="D22" s="68">
        <f>'E- &amp; NG Prices'!D73</f>
        <v>21.5073368485215</v>
      </c>
      <c r="E22" s="68">
        <f>'E- &amp; NG Prices'!E73</f>
        <v>20.070435844328056</v>
      </c>
      <c r="F22" s="5"/>
      <c r="G22" s="5"/>
      <c r="H22" s="68">
        <f>'Summary Sheet'!$B$30</f>
        <v>0</v>
      </c>
      <c r="I22" s="68">
        <f>'Summary Sheet'!$B$31</f>
        <v>0</v>
      </c>
      <c r="J22" s="10" t="e">
        <f>'Summary Sheet'!$B$26-'Summary Sheet'!$B$27</f>
        <v>#DIV/0!</v>
      </c>
      <c r="K22" t="e">
        <f>(C22*H22*J22*'Summary Sheet'!$B$6)+(C22*I22*J22*'Summary Sheet'!$B$6)</f>
        <v>#DIV/0!</v>
      </c>
      <c r="N22">
        <v>2027</v>
      </c>
      <c r="O22" s="68">
        <f>'E- &amp; NG Prices'!J73</f>
        <v>22.48650496968479</v>
      </c>
      <c r="P22" s="68">
        <f>'E- &amp; NG Prices'!K73</f>
        <v>25.881742216204817</v>
      </c>
      <c r="Q22" s="68">
        <f>'E- &amp; NG Prices'!L73</f>
        <v>21.5073368485215</v>
      </c>
      <c r="R22" s="68">
        <f>'E- &amp; NG Prices'!M73</f>
        <v>20.070435844328056</v>
      </c>
      <c r="S22" s="5"/>
      <c r="T22" s="5"/>
      <c r="U22" s="68">
        <f>'Summary Sheet'!$C$30</f>
        <v>0</v>
      </c>
      <c r="V22" s="68">
        <f>'Summary Sheet'!$C$31</f>
        <v>0</v>
      </c>
      <c r="W22" s="10" t="e">
        <f>'Summary Sheet'!$C$26-'Summary Sheet'!$C$27</f>
        <v>#DIV/0!</v>
      </c>
      <c r="X22" t="e">
        <f>(P22*U22*W22*'Summary Sheet'!$C$6)+(P22*V22*W22*'Summary Sheet'!$C$6)</f>
        <v>#DIV/0!</v>
      </c>
      <c r="AA22">
        <v>2027</v>
      </c>
      <c r="AB22" s="68">
        <f>'E- &amp; NG Prices'!R73</f>
        <v>22.48650496968479</v>
      </c>
      <c r="AC22" s="68">
        <f>'E- &amp; NG Prices'!S73</f>
        <v>25.881742216204817</v>
      </c>
      <c r="AD22" s="68">
        <f>'E- &amp; NG Prices'!T73</f>
        <v>21.5073368485215</v>
      </c>
      <c r="AE22" s="68">
        <f>'E- &amp; NG Prices'!U73</f>
        <v>20.070435844328056</v>
      </c>
      <c r="AF22" s="5"/>
      <c r="AG22" s="5"/>
      <c r="AH22" s="68">
        <f>'Summary Sheet'!$D$30</f>
        <v>0</v>
      </c>
      <c r="AI22" s="68">
        <f>'Summary Sheet'!$D$31</f>
        <v>0</v>
      </c>
      <c r="AJ22" s="10" t="e">
        <f>'Summary Sheet'!$D$26-'Summary Sheet'!$D$27</f>
        <v>#DIV/0!</v>
      </c>
      <c r="AK22" t="e">
        <f>(AC22*AH22*AJ22*'Summary Sheet'!$D$6)+(AC22*AI22*AJ22*'Summary Sheet'!$D$6)</f>
        <v>#DIV/0!</v>
      </c>
      <c r="AN22">
        <v>2027</v>
      </c>
      <c r="AO22" s="68">
        <f>'E- &amp; NG Prices'!AA73</f>
        <v>22.48650496968479</v>
      </c>
      <c r="AP22" s="68">
        <f>'E- &amp; NG Prices'!AB73</f>
        <v>25.881742216204817</v>
      </c>
      <c r="AQ22" s="68">
        <f>'E- &amp; NG Prices'!AC73</f>
        <v>21.5073368485215</v>
      </c>
      <c r="AR22" s="68">
        <f>'E- &amp; NG Prices'!AD73</f>
        <v>20.070435844328056</v>
      </c>
      <c r="AS22" s="5"/>
      <c r="AT22" s="5"/>
      <c r="AU22" s="68">
        <f>'Summary Sheet'!$E$30</f>
        <v>0</v>
      </c>
      <c r="AV22" s="68">
        <f>'Summary Sheet'!$E$31</f>
        <v>0</v>
      </c>
      <c r="AW22" s="10" t="e">
        <f>'Summary Sheet'!$E$26-'Summary Sheet'!$E$27</f>
        <v>#DIV/0!</v>
      </c>
      <c r="AX22" t="e">
        <f>(AP22*AU22*AW22*'Summary Sheet'!$E$6)+(AP22*AV22*AW22*'Summary Sheet'!$E$6)</f>
        <v>#DIV/0!</v>
      </c>
      <c r="BA22">
        <v>2027</v>
      </c>
      <c r="BB22" s="68">
        <f>'E- &amp; NG Prices'!B73</f>
        <v>22.48650496968479</v>
      </c>
      <c r="BC22" s="68">
        <f>'E- &amp; NG Prices'!C73</f>
        <v>25.881742216204817</v>
      </c>
      <c r="BD22" s="68">
        <f>'E- &amp; NG Prices'!D73</f>
        <v>21.5073368485215</v>
      </c>
      <c r="BE22" s="68">
        <f>'E- &amp; NG Prices'!E73</f>
        <v>20.070435844328056</v>
      </c>
      <c r="BF22" s="5"/>
      <c r="BG22" s="5"/>
      <c r="BH22" s="68">
        <f>'Summary Sheet'!$F$30</f>
        <v>0</v>
      </c>
      <c r="BI22" s="68">
        <f>'Summary Sheet'!$F$31</f>
        <v>0</v>
      </c>
      <c r="BJ22" s="10" t="e">
        <f>'Summary Sheet'!$F$26-'Summary Sheet'!$F$27</f>
        <v>#DIV/0!</v>
      </c>
      <c r="BK22" t="e">
        <f>(BC22*BH22*BJ22*'Summary Sheet'!$F$6)+(BC22*BI22*BJ22*'Summary Sheet'!$F$6)</f>
        <v>#DIV/0!</v>
      </c>
      <c r="BN22">
        <v>2027</v>
      </c>
      <c r="BO22" s="68">
        <f>'E- &amp; NG Prices'!B73</f>
        <v>22.48650496968479</v>
      </c>
      <c r="BP22" s="68">
        <f>'E- &amp; NG Prices'!C73</f>
        <v>25.881742216204817</v>
      </c>
      <c r="BQ22" s="68">
        <f>'E- &amp; NG Prices'!D73</f>
        <v>21.5073368485215</v>
      </c>
      <c r="BR22" s="68">
        <f>'E- &amp; NG Prices'!E73</f>
        <v>20.070435844328056</v>
      </c>
      <c r="BS22" s="5"/>
      <c r="BT22" s="5"/>
      <c r="BU22" s="68">
        <f>'Summary Sheet'!$G$30</f>
        <v>0</v>
      </c>
      <c r="BV22" s="68">
        <f>'Summary Sheet'!$G$31</f>
        <v>0</v>
      </c>
      <c r="BW22" s="10" t="e">
        <f>'Summary Sheet'!$G$26-'Summary Sheet'!$G$27</f>
        <v>#DIV/0!</v>
      </c>
      <c r="BX22" t="e">
        <f>(BP22*BU22*BW22*'Summary Sheet'!$G$6)+(BP22*BV22*BW22*'Summary Sheet'!$G$6)</f>
        <v>#DIV/0!</v>
      </c>
    </row>
    <row r="23" spans="1:76" ht="12.75">
      <c r="A23">
        <v>2028</v>
      </c>
      <c r="B23" s="68">
        <f>'E- &amp; NG Prices'!B74</f>
        <v>23.262964614197</v>
      </c>
      <c r="C23" s="68">
        <f>'E- &amp; NG Prices'!C74</f>
        <v>26.629332370185676</v>
      </c>
      <c r="D23" s="68">
        <f>'E- &amp; NG Prices'!D74</f>
        <v>22.216135172174187</v>
      </c>
      <c r="E23" s="68">
        <f>'E- &amp; NG Prices'!E74</f>
        <v>20.943426300231128</v>
      </c>
      <c r="F23" s="5"/>
      <c r="G23" s="5"/>
      <c r="H23" s="68">
        <f>'Summary Sheet'!$B$30</f>
        <v>0</v>
      </c>
      <c r="I23" s="68">
        <f>'Summary Sheet'!$B$31</f>
        <v>0</v>
      </c>
      <c r="J23" s="10" t="e">
        <f>'Summary Sheet'!$B$26-'Summary Sheet'!$B$27</f>
        <v>#DIV/0!</v>
      </c>
      <c r="K23" t="e">
        <f>(C23*H23*J23*'Summary Sheet'!$B$6)+(C23*I23*J23*'Summary Sheet'!$B$6)</f>
        <v>#DIV/0!</v>
      </c>
      <c r="N23">
        <v>2028</v>
      </c>
      <c r="O23" s="68">
        <f>'E- &amp; NG Prices'!J74</f>
        <v>23.262964614197</v>
      </c>
      <c r="P23" s="68">
        <f>'E- &amp; NG Prices'!K74</f>
        <v>26.629332370185676</v>
      </c>
      <c r="Q23" s="68">
        <f>'E- &amp; NG Prices'!L74</f>
        <v>22.216135172174187</v>
      </c>
      <c r="R23" s="68">
        <f>'E- &amp; NG Prices'!M74</f>
        <v>20.943426300231128</v>
      </c>
      <c r="S23" s="5"/>
      <c r="T23" s="5"/>
      <c r="U23" s="68">
        <f>'Summary Sheet'!$C$30</f>
        <v>0</v>
      </c>
      <c r="V23" s="68">
        <f>'Summary Sheet'!$C$31</f>
        <v>0</v>
      </c>
      <c r="W23" s="10" t="e">
        <f>'Summary Sheet'!$C$26-'Summary Sheet'!$C$27</f>
        <v>#DIV/0!</v>
      </c>
      <c r="X23" t="e">
        <f>(P23*U23*W23*'Summary Sheet'!$C$6)+(P23*V23*W23*'Summary Sheet'!$C$6)</f>
        <v>#DIV/0!</v>
      </c>
      <c r="AA23">
        <v>2028</v>
      </c>
      <c r="AB23" s="68">
        <f>'E- &amp; NG Prices'!R74</f>
        <v>23.262964614197</v>
      </c>
      <c r="AC23" s="68">
        <f>'E- &amp; NG Prices'!S74</f>
        <v>26.629332370185676</v>
      </c>
      <c r="AD23" s="68">
        <f>'E- &amp; NG Prices'!T74</f>
        <v>22.216135172174187</v>
      </c>
      <c r="AE23" s="68">
        <f>'E- &amp; NG Prices'!U74</f>
        <v>20.943426300231128</v>
      </c>
      <c r="AF23" s="5"/>
      <c r="AG23" s="5"/>
      <c r="AH23" s="68">
        <f>'Summary Sheet'!$D$30</f>
        <v>0</v>
      </c>
      <c r="AI23" s="68">
        <f>'Summary Sheet'!$D$31</f>
        <v>0</v>
      </c>
      <c r="AJ23" s="10" t="e">
        <f>'Summary Sheet'!$D$26-'Summary Sheet'!$D$27</f>
        <v>#DIV/0!</v>
      </c>
      <c r="AK23" t="e">
        <f>(AC23*AH23*AJ23*'Summary Sheet'!$D$6)+(AC23*AI23*AJ23*'Summary Sheet'!$D$6)</f>
        <v>#DIV/0!</v>
      </c>
      <c r="AN23">
        <v>2028</v>
      </c>
      <c r="AO23" s="68">
        <f>'E- &amp; NG Prices'!AA74</f>
        <v>23.262964614197</v>
      </c>
      <c r="AP23" s="68">
        <f>'E- &amp; NG Prices'!AB74</f>
        <v>26.629332370185676</v>
      </c>
      <c r="AQ23" s="68">
        <f>'E- &amp; NG Prices'!AC74</f>
        <v>22.216135172174187</v>
      </c>
      <c r="AR23" s="68">
        <f>'E- &amp; NG Prices'!AD74</f>
        <v>20.943426300231128</v>
      </c>
      <c r="AS23" s="5"/>
      <c r="AT23" s="5"/>
      <c r="AU23" s="68">
        <f>'Summary Sheet'!$E$30</f>
        <v>0</v>
      </c>
      <c r="AV23" s="68">
        <f>'Summary Sheet'!$E$31</f>
        <v>0</v>
      </c>
      <c r="AW23" s="10" t="e">
        <f>'Summary Sheet'!$E$26-'Summary Sheet'!$E$27</f>
        <v>#DIV/0!</v>
      </c>
      <c r="AX23" t="e">
        <f>(AP23*AU23*AW23*'Summary Sheet'!$E$6)+(AP23*AV23*AW23*'Summary Sheet'!$E$6)</f>
        <v>#DIV/0!</v>
      </c>
      <c r="BA23">
        <v>2028</v>
      </c>
      <c r="BB23" s="68">
        <f>'E- &amp; NG Prices'!B74</f>
        <v>23.262964614197</v>
      </c>
      <c r="BC23" s="68">
        <f>'E- &amp; NG Prices'!C74</f>
        <v>26.629332370185676</v>
      </c>
      <c r="BD23" s="68">
        <f>'E- &amp; NG Prices'!D74</f>
        <v>22.216135172174187</v>
      </c>
      <c r="BE23" s="68">
        <f>'E- &amp; NG Prices'!E74</f>
        <v>20.943426300231128</v>
      </c>
      <c r="BF23" s="5"/>
      <c r="BG23" s="5"/>
      <c r="BH23" s="68">
        <f>'Summary Sheet'!$F$30</f>
        <v>0</v>
      </c>
      <c r="BI23" s="68">
        <f>'Summary Sheet'!$F$31</f>
        <v>0</v>
      </c>
      <c r="BJ23" s="10" t="e">
        <f>'Summary Sheet'!$F$26-'Summary Sheet'!$F$27</f>
        <v>#DIV/0!</v>
      </c>
      <c r="BK23" t="e">
        <f>(BC23*BH23*BJ23*'Summary Sheet'!$F$6)+(BC23*BI23*BJ23*'Summary Sheet'!$F$6)</f>
        <v>#DIV/0!</v>
      </c>
      <c r="BN23">
        <v>2028</v>
      </c>
      <c r="BO23" s="68">
        <f>'E- &amp; NG Prices'!B74</f>
        <v>23.262964614197</v>
      </c>
      <c r="BP23" s="68">
        <f>'E- &amp; NG Prices'!C74</f>
        <v>26.629332370185676</v>
      </c>
      <c r="BQ23" s="68">
        <f>'E- &amp; NG Prices'!D74</f>
        <v>22.216135172174187</v>
      </c>
      <c r="BR23" s="68">
        <f>'E- &amp; NG Prices'!E74</f>
        <v>20.943426300231128</v>
      </c>
      <c r="BS23" s="5"/>
      <c r="BT23" s="5"/>
      <c r="BU23" s="68">
        <f>'Summary Sheet'!$G$30</f>
        <v>0</v>
      </c>
      <c r="BV23" s="68">
        <f>'Summary Sheet'!$G$31</f>
        <v>0</v>
      </c>
      <c r="BW23" s="10" t="e">
        <f>'Summary Sheet'!$G$26-'Summary Sheet'!$G$27</f>
        <v>#DIV/0!</v>
      </c>
      <c r="BX23" t="e">
        <f>(BP23*BU23*BW23*'Summary Sheet'!$G$6)+(BP23*BV23*BW23*'Summary Sheet'!$G$6)</f>
        <v>#DIV/0!</v>
      </c>
    </row>
    <row r="25" spans="10:76" ht="12.75">
      <c r="J25" t="s">
        <v>170</v>
      </c>
      <c r="K25" t="e">
        <f>SUM(K4:K23)</f>
        <v>#DIV/0!</v>
      </c>
      <c r="W25" t="s">
        <v>170</v>
      </c>
      <c r="X25" t="e">
        <f>SUM(X4:X23)</f>
        <v>#DIV/0!</v>
      </c>
      <c r="AJ25" t="s">
        <v>170</v>
      </c>
      <c r="AK25" t="e">
        <f>SUM(AK4:AK23)</f>
        <v>#DIV/0!</v>
      </c>
      <c r="AW25" t="s">
        <v>170</v>
      </c>
      <c r="AX25" t="e">
        <f>SUM(AX4:AX23)</f>
        <v>#DIV/0!</v>
      </c>
      <c r="BJ25" t="s">
        <v>170</v>
      </c>
      <c r="BK25" t="e">
        <f>SUM(BK4:BK23)</f>
        <v>#DIV/0!</v>
      </c>
      <c r="BW25" t="s">
        <v>170</v>
      </c>
      <c r="BX25" t="e">
        <f>SUM(BX4:BX23)</f>
        <v>#DIV/0!</v>
      </c>
    </row>
    <row r="26" spans="10:76" ht="12.75">
      <c r="J26" t="s">
        <v>171</v>
      </c>
      <c r="K26" s="8" t="e">
        <f>NPV('Summary Sheet'!$B$67,K4:K23)</f>
        <v>#DIV/0!</v>
      </c>
      <c r="W26" t="s">
        <v>171</v>
      </c>
      <c r="X26" s="8" t="e">
        <f>NPV('Summary Sheet'!$C$67,X4:X23)</f>
        <v>#DIV/0!</v>
      </c>
      <c r="AJ26" t="s">
        <v>171</v>
      </c>
      <c r="AK26" s="8" t="e">
        <f>NPV('Summary Sheet'!$D$67,AK4:AK23)</f>
        <v>#DIV/0!</v>
      </c>
      <c r="AW26" t="s">
        <v>171</v>
      </c>
      <c r="AX26" s="8" t="e">
        <f>NPV('Summary Sheet'!$E$67,AX4:AX23)</f>
        <v>#DIV/0!</v>
      </c>
      <c r="BJ26" t="s">
        <v>171</v>
      </c>
      <c r="BK26" s="8" t="e">
        <f>NPV('Summary Sheet'!$F$67,BK4:BK23)</f>
        <v>#DIV/0!</v>
      </c>
      <c r="BW26" t="s">
        <v>171</v>
      </c>
      <c r="BX26" s="8" t="e">
        <f>NPV('Summary Sheet'!$G$67,BX4:BX23)</f>
        <v>#DIV/0!</v>
      </c>
    </row>
    <row r="27" spans="12:82" ht="12.75">
      <c r="L27" s="8"/>
      <c r="M27" s="8"/>
      <c r="Z27" s="8"/>
      <c r="AM27" s="8"/>
      <c r="AN27" s="8"/>
      <c r="BA27" s="8"/>
      <c r="BB27" s="8"/>
      <c r="BO27" s="8"/>
      <c r="BP27" s="8"/>
      <c r="CC27" s="8"/>
      <c r="CD27" s="8"/>
    </row>
    <row r="28" spans="12:82" ht="12.75">
      <c r="L28" s="8"/>
      <c r="M28" s="8"/>
      <c r="Z28" s="8"/>
      <c r="AM28" s="8"/>
      <c r="AN28" s="8"/>
      <c r="BA28" s="8"/>
      <c r="BB28" s="8"/>
      <c r="BO28" s="8"/>
      <c r="BP28" s="8"/>
      <c r="CC28" s="8"/>
      <c r="CD28" s="8"/>
    </row>
    <row r="29" spans="1:80" ht="12.75">
      <c r="A29" s="246" t="s">
        <v>738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12"/>
      <c r="N29" s="246" t="s">
        <v>738</v>
      </c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12"/>
      <c r="AA29" s="246" t="s">
        <v>738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6"/>
      <c r="AN29" s="246" t="s">
        <v>738</v>
      </c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6"/>
      <c r="BA29" s="246" t="s">
        <v>738</v>
      </c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6"/>
      <c r="BN29" s="246" t="s">
        <v>738</v>
      </c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6"/>
      <c r="CA29" s="6"/>
      <c r="CB29" s="12"/>
    </row>
    <row r="30" spans="1:77" ht="39" customHeight="1">
      <c r="A30" s="7" t="s">
        <v>159</v>
      </c>
      <c r="B30" s="7" t="s">
        <v>160</v>
      </c>
      <c r="C30" s="7" t="s">
        <v>177</v>
      </c>
      <c r="D30" s="7" t="s">
        <v>178</v>
      </c>
      <c r="E30" s="7" t="s">
        <v>179</v>
      </c>
      <c r="F30" s="7" t="s">
        <v>180</v>
      </c>
      <c r="G30" s="7" t="s">
        <v>181</v>
      </c>
      <c r="H30" s="7" t="s">
        <v>182</v>
      </c>
      <c r="I30" s="7" t="s">
        <v>183</v>
      </c>
      <c r="J30" s="7" t="s">
        <v>184</v>
      </c>
      <c r="K30" s="7" t="s">
        <v>176</v>
      </c>
      <c r="L30" s="7" t="s">
        <v>169</v>
      </c>
      <c r="M30" s="7"/>
      <c r="N30" s="7" t="s">
        <v>159</v>
      </c>
      <c r="O30" s="7" t="s">
        <v>160</v>
      </c>
      <c r="P30" s="7" t="s">
        <v>177</v>
      </c>
      <c r="Q30" s="7" t="s">
        <v>178</v>
      </c>
      <c r="R30" s="7" t="s">
        <v>179</v>
      </c>
      <c r="S30" s="7" t="s">
        <v>180</v>
      </c>
      <c r="T30" s="7" t="s">
        <v>181</v>
      </c>
      <c r="U30" s="7" t="s">
        <v>182</v>
      </c>
      <c r="V30" s="7" t="s">
        <v>183</v>
      </c>
      <c r="W30" s="7" t="s">
        <v>184</v>
      </c>
      <c r="X30" s="7" t="s">
        <v>176</v>
      </c>
      <c r="Y30" s="7" t="s">
        <v>169</v>
      </c>
      <c r="AA30" s="7" t="s">
        <v>159</v>
      </c>
      <c r="AB30" s="7" t="s">
        <v>160</v>
      </c>
      <c r="AC30" s="7" t="s">
        <v>177</v>
      </c>
      <c r="AD30" s="7" t="s">
        <v>178</v>
      </c>
      <c r="AE30" s="7" t="s">
        <v>179</v>
      </c>
      <c r="AF30" s="7" t="s">
        <v>180</v>
      </c>
      <c r="AG30" s="7" t="s">
        <v>181</v>
      </c>
      <c r="AH30" s="7" t="s">
        <v>182</v>
      </c>
      <c r="AI30" s="7" t="s">
        <v>183</v>
      </c>
      <c r="AJ30" s="7" t="s">
        <v>184</v>
      </c>
      <c r="AK30" s="7" t="s">
        <v>176</v>
      </c>
      <c r="AL30" s="7" t="s">
        <v>169</v>
      </c>
      <c r="AN30" s="7" t="s">
        <v>159</v>
      </c>
      <c r="AO30" s="7" t="s">
        <v>160</v>
      </c>
      <c r="AP30" s="7" t="s">
        <v>177</v>
      </c>
      <c r="AQ30" s="7" t="s">
        <v>178</v>
      </c>
      <c r="AR30" s="7" t="s">
        <v>179</v>
      </c>
      <c r="AS30" s="7" t="s">
        <v>180</v>
      </c>
      <c r="AT30" s="7" t="s">
        <v>181</v>
      </c>
      <c r="AU30" s="7" t="s">
        <v>182</v>
      </c>
      <c r="AV30" s="7" t="s">
        <v>183</v>
      </c>
      <c r="AW30" s="7" t="s">
        <v>184</v>
      </c>
      <c r="AX30" s="7" t="s">
        <v>176</v>
      </c>
      <c r="AY30" s="7" t="s">
        <v>169</v>
      </c>
      <c r="AZ30" s="7"/>
      <c r="BA30" s="7" t="s">
        <v>159</v>
      </c>
      <c r="BB30" s="7" t="s">
        <v>160</v>
      </c>
      <c r="BC30" s="7" t="s">
        <v>177</v>
      </c>
      <c r="BD30" s="7" t="s">
        <v>178</v>
      </c>
      <c r="BE30" s="7" t="s">
        <v>179</v>
      </c>
      <c r="BF30" s="7" t="s">
        <v>180</v>
      </c>
      <c r="BG30" s="7" t="s">
        <v>181</v>
      </c>
      <c r="BH30" s="7" t="s">
        <v>182</v>
      </c>
      <c r="BI30" s="7" t="s">
        <v>183</v>
      </c>
      <c r="BJ30" s="7" t="s">
        <v>184</v>
      </c>
      <c r="BK30" s="7" t="s">
        <v>176</v>
      </c>
      <c r="BL30" s="7" t="s">
        <v>169</v>
      </c>
      <c r="BN30" s="7" t="s">
        <v>159</v>
      </c>
      <c r="BO30" s="7" t="s">
        <v>160</v>
      </c>
      <c r="BP30" s="7" t="s">
        <v>177</v>
      </c>
      <c r="BQ30" s="7" t="s">
        <v>178</v>
      </c>
      <c r="BR30" s="7" t="s">
        <v>179</v>
      </c>
      <c r="BS30" s="7" t="s">
        <v>180</v>
      </c>
      <c r="BT30" s="7" t="s">
        <v>181</v>
      </c>
      <c r="BU30" s="7" t="s">
        <v>182</v>
      </c>
      <c r="BV30" s="7" t="s">
        <v>183</v>
      </c>
      <c r="BW30" s="7" t="s">
        <v>184</v>
      </c>
      <c r="BX30" s="7" t="s">
        <v>176</v>
      </c>
      <c r="BY30" s="7" t="s">
        <v>169</v>
      </c>
    </row>
    <row r="31" spans="1:77" ht="12.75">
      <c r="A31">
        <v>2009</v>
      </c>
      <c r="B31" s="68">
        <f>'E- &amp; NG Prices'!B5</f>
        <v>57.62184</v>
      </c>
      <c r="C31" s="68">
        <f>'E- &amp; NG Prices'!C5</f>
        <v>75.41107700674922</v>
      </c>
      <c r="D31" s="68">
        <f>'E- &amp; NG Prices'!D5</f>
        <v>61.97998777982112</v>
      </c>
      <c r="E31" s="68">
        <f>'E- &amp; NG Prices'!E5</f>
        <v>69.66024648855233</v>
      </c>
      <c r="F31" s="68">
        <f>'E- &amp; NG Prices'!F5</f>
        <v>51.92934471661052</v>
      </c>
      <c r="G31" s="68">
        <f>'Summary Sheet'!$B$17</f>
        <v>0</v>
      </c>
      <c r="H31" s="68">
        <f>'Summary Sheet'!$B$18</f>
        <v>0</v>
      </c>
      <c r="I31" s="68">
        <f>'Summary Sheet'!$B$19</f>
        <v>0</v>
      </c>
      <c r="J31" s="68">
        <f>'Summary Sheet'!$B$20</f>
        <v>0</v>
      </c>
      <c r="K31" s="10" t="e">
        <f>'Summary Sheet'!$B$11-'Summary Sheet'!$B$12</f>
        <v>#DIV/0!</v>
      </c>
      <c r="L31" s="69" t="e">
        <f>((C31*G31*K31)+(D31*H31*K31)+(E31*I31*K31)+(F31*J31*K31))*'Summary Sheet'!$B$6</f>
        <v>#DIV/0!</v>
      </c>
      <c r="N31">
        <v>2009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68">
        <v>0</v>
      </c>
      <c r="U31" s="68">
        <v>0</v>
      </c>
      <c r="V31" s="68">
        <v>0</v>
      </c>
      <c r="W31" s="68">
        <v>0</v>
      </c>
      <c r="X31" s="10">
        <v>0</v>
      </c>
      <c r="Y31" s="69">
        <v>0</v>
      </c>
      <c r="AA31">
        <v>2009</v>
      </c>
      <c r="AB31" s="9">
        <f>'E- &amp; NG Prices'!R5</f>
        <v>57.62184</v>
      </c>
      <c r="AC31" s="9">
        <f>'E- &amp; NG Prices'!S5</f>
        <v>75.41107700674922</v>
      </c>
      <c r="AD31" s="9">
        <f>'E- &amp; NG Prices'!T5</f>
        <v>61.97998777982112</v>
      </c>
      <c r="AE31" s="9">
        <f>'E- &amp; NG Prices'!U5</f>
        <v>69.66024648855233</v>
      </c>
      <c r="AF31" s="9">
        <f>'E- &amp; NG Prices'!V5</f>
        <v>51.92934471661052</v>
      </c>
      <c r="AG31" s="68">
        <f>'Summary Sheet'!$D$17</f>
        <v>0</v>
      </c>
      <c r="AH31" s="68">
        <f>'Summary Sheet'!$D$18</f>
        <v>0</v>
      </c>
      <c r="AI31" s="68">
        <f>'Summary Sheet'!$D$19</f>
        <v>0</v>
      </c>
      <c r="AJ31" s="68">
        <f>'Summary Sheet'!$D$20</f>
        <v>0</v>
      </c>
      <c r="AK31" s="10" t="e">
        <f>'Summary Sheet'!$D$11-'Summary Sheet'!$D$12</f>
        <v>#DIV/0!</v>
      </c>
      <c r="AL31" s="69" t="e">
        <f>((AC31*AG31*AK31)+(AD31*AH31*AK31)+(AE31*AI31*AK31)+(AF31*AJ31*AK31))*'Summary Sheet'!$D$6</f>
        <v>#DIV/0!</v>
      </c>
      <c r="AN31">
        <v>2009</v>
      </c>
      <c r="AO31" s="9">
        <f>'E- &amp; NG Prices'!AA5</f>
        <v>57.62184</v>
      </c>
      <c r="AP31" s="9">
        <f>'E- &amp; NG Prices'!AB5</f>
        <v>75.41107700674922</v>
      </c>
      <c r="AQ31" s="9">
        <f>'E- &amp; NG Prices'!AC5</f>
        <v>61.97998777982112</v>
      </c>
      <c r="AR31" s="9">
        <f>'E- &amp; NG Prices'!AD5</f>
        <v>69.66024648855233</v>
      </c>
      <c r="AS31" s="9">
        <f>'E- &amp; NG Prices'!AE5</f>
        <v>51.92934471661052</v>
      </c>
      <c r="AT31" s="68">
        <f>'Summary Sheet'!$E$17</f>
        <v>0</v>
      </c>
      <c r="AU31" s="68">
        <f>'Summary Sheet'!$E$18</f>
        <v>0</v>
      </c>
      <c r="AV31" s="68">
        <f>'Summary Sheet'!$E$19</f>
        <v>0</v>
      </c>
      <c r="AW31" s="68">
        <f>'Summary Sheet'!$E$20</f>
        <v>0</v>
      </c>
      <c r="AX31" s="10" t="e">
        <f>'Summary Sheet'!$E$11-'Summary Sheet'!$E$12</f>
        <v>#DIV/0!</v>
      </c>
      <c r="AY31" s="69" t="e">
        <f>((AP31*AT31*AX31)+(AQ31*AU31*AX31)+(AR31*AV31*AX31)+(AS31*AW31*AX31))*'Summary Sheet'!$E$6</f>
        <v>#DIV/0!</v>
      </c>
      <c r="BA31">
        <v>2009</v>
      </c>
      <c r="BB31" s="9">
        <f>'E- &amp; NG Prices'!B5</f>
        <v>57.62184</v>
      </c>
      <c r="BC31" s="9">
        <f>'E- &amp; NG Prices'!C5</f>
        <v>75.41107700674922</v>
      </c>
      <c r="BD31" s="9">
        <f>'E- &amp; NG Prices'!D5</f>
        <v>61.97998777982112</v>
      </c>
      <c r="BE31" s="9">
        <f>'E- &amp; NG Prices'!E5</f>
        <v>69.66024648855233</v>
      </c>
      <c r="BF31" s="9">
        <f>'E- &amp; NG Prices'!F5</f>
        <v>51.92934471661052</v>
      </c>
      <c r="BG31" s="68">
        <f>'Summary Sheet'!$F$17</f>
        <v>0</v>
      </c>
      <c r="BH31" s="68">
        <f>'Summary Sheet'!$F$18</f>
        <v>0</v>
      </c>
      <c r="BI31" s="68">
        <f>'Summary Sheet'!$F$19</f>
        <v>0</v>
      </c>
      <c r="BJ31" s="68">
        <f>'Summary Sheet'!$F$20</f>
        <v>0</v>
      </c>
      <c r="BK31" s="10" t="e">
        <f>'Summary Sheet'!$F$11-'Summary Sheet'!$F$12</f>
        <v>#DIV/0!</v>
      </c>
      <c r="BL31" s="69" t="e">
        <f>((BC31*BG31*BK31)+(BD31*BH31*BK31)+(BE31*BI31*BK31)+(BF31*BJ31*BK31))*'Summary Sheet'!$F$6</f>
        <v>#DIV/0!</v>
      </c>
      <c r="BN31">
        <v>2009</v>
      </c>
      <c r="BO31" s="9">
        <f>'E- &amp; NG Prices'!B5</f>
        <v>57.62184</v>
      </c>
      <c r="BP31" s="9">
        <f>'E- &amp; NG Prices'!C5</f>
        <v>75.41107700674922</v>
      </c>
      <c r="BQ31" s="9">
        <f>'E- &amp; NG Prices'!D5</f>
        <v>61.97998777982112</v>
      </c>
      <c r="BR31" s="9">
        <f>'E- &amp; NG Prices'!E5</f>
        <v>69.66024648855233</v>
      </c>
      <c r="BS31" s="9">
        <f>'E- &amp; NG Prices'!F5</f>
        <v>51.92934471661052</v>
      </c>
      <c r="BT31" s="68">
        <f>'Summary Sheet'!$G$17</f>
        <v>0</v>
      </c>
      <c r="BU31" s="68">
        <f>'Summary Sheet'!$G$18</f>
        <v>0</v>
      </c>
      <c r="BV31" s="68">
        <f>'Summary Sheet'!$G$19</f>
        <v>0</v>
      </c>
      <c r="BW31" s="68">
        <f>'Summary Sheet'!$G$20</f>
        <v>0</v>
      </c>
      <c r="BX31" s="10" t="e">
        <f>'Summary Sheet'!$G$11-'Summary Sheet'!$G$12</f>
        <v>#DIV/0!</v>
      </c>
      <c r="BY31" s="69" t="e">
        <f>((BP31*BT31*BX31)+(BQ31*BU31*BX31)+(BR31*BV31*BX31)+(BS31*BW31*BX31))*'Summary Sheet'!$G$6</f>
        <v>#DIV/0!</v>
      </c>
    </row>
    <row r="32" spans="1:77" ht="12.75">
      <c r="A32">
        <v>2010</v>
      </c>
      <c r="B32" s="68">
        <f>'E- &amp; NG Prices'!B6</f>
        <v>58.44</v>
      </c>
      <c r="C32" s="68">
        <f>'E- &amp; NG Prices'!C6</f>
        <v>76.84834262913272</v>
      </c>
      <c r="D32" s="68">
        <f>'E- &amp; NG Prices'!D6</f>
        <v>63.25986043472776</v>
      </c>
      <c r="E32" s="68">
        <f>'E- &amp; NG Prices'!E6</f>
        <v>70.84124004143358</v>
      </c>
      <c r="F32" s="68">
        <f>'E- &amp; NG Prices'!F6</f>
        <v>52.562885117839926</v>
      </c>
      <c r="G32" s="68">
        <f>'Summary Sheet'!$B$17</f>
        <v>0</v>
      </c>
      <c r="H32" s="68">
        <f>'Summary Sheet'!$B$18</f>
        <v>0</v>
      </c>
      <c r="I32" s="68">
        <f>'Summary Sheet'!$B$19</f>
        <v>0</v>
      </c>
      <c r="J32" s="68">
        <f>'Summary Sheet'!$B$20</f>
        <v>0</v>
      </c>
      <c r="K32" s="10" t="e">
        <f>'Summary Sheet'!$B$11-'Summary Sheet'!$B$12</f>
        <v>#DIV/0!</v>
      </c>
      <c r="L32" s="69" t="e">
        <f>((C32*G32*K32)+(D32*H32*K32)+(E32*I32*K32)+(F32*J32*K32))*'Summary Sheet'!$B$6</f>
        <v>#DIV/0!</v>
      </c>
      <c r="N32">
        <v>2010</v>
      </c>
      <c r="O32" s="9">
        <f>'E- &amp; NG Prices'!J6</f>
        <v>58.44</v>
      </c>
      <c r="P32" s="9">
        <f>'E- &amp; NG Prices'!K6</f>
        <v>76.84834262913272</v>
      </c>
      <c r="Q32" s="9">
        <f>'E- &amp; NG Prices'!L6</f>
        <v>63.25986043472776</v>
      </c>
      <c r="R32" s="9">
        <f>'E- &amp; NG Prices'!M6</f>
        <v>70.84124004143358</v>
      </c>
      <c r="S32" s="9">
        <f>'E- &amp; NG Prices'!N6</f>
        <v>52.562885117839926</v>
      </c>
      <c r="T32" s="68">
        <f>'Summary Sheet'!$C$17</f>
        <v>0</v>
      </c>
      <c r="U32" s="68">
        <f>'Summary Sheet'!$C$18</f>
        <v>0</v>
      </c>
      <c r="V32" s="68">
        <f>'Summary Sheet'!$C$19</f>
        <v>0</v>
      </c>
      <c r="W32" s="68">
        <f>'Summary Sheet'!$C$20</f>
        <v>0</v>
      </c>
      <c r="X32" s="10" t="e">
        <f>'Summary Sheet'!$C$11-'Summary Sheet'!$C$12</f>
        <v>#DIV/0!</v>
      </c>
      <c r="Y32" s="69" t="e">
        <f>((P32*T32*X32)+(Q32*U32*X32)+(R32*V32*X32)+(S32*W32*X32))*'Summary Sheet'!$C$6</f>
        <v>#DIV/0!</v>
      </c>
      <c r="AA32">
        <v>2010</v>
      </c>
      <c r="AB32" s="9">
        <f>'E- &amp; NG Prices'!R6</f>
        <v>58.44</v>
      </c>
      <c r="AC32" s="9">
        <f>'E- &amp; NG Prices'!S6</f>
        <v>76.84834262913272</v>
      </c>
      <c r="AD32" s="9">
        <f>'E- &amp; NG Prices'!T6</f>
        <v>63.25986043472776</v>
      </c>
      <c r="AE32" s="9">
        <f>'E- &amp; NG Prices'!U6</f>
        <v>70.84124004143358</v>
      </c>
      <c r="AF32" s="9">
        <f>'E- &amp; NG Prices'!V6</f>
        <v>52.562885117839926</v>
      </c>
      <c r="AG32" s="68">
        <f>'Summary Sheet'!$D$17</f>
        <v>0</v>
      </c>
      <c r="AH32" s="68">
        <f>'Summary Sheet'!$D$18</f>
        <v>0</v>
      </c>
      <c r="AI32" s="68">
        <f>'Summary Sheet'!$D$19</f>
        <v>0</v>
      </c>
      <c r="AJ32" s="68">
        <f>'Summary Sheet'!$D$20</f>
        <v>0</v>
      </c>
      <c r="AK32" s="10" t="e">
        <f>'Summary Sheet'!$D$11-'Summary Sheet'!$D$12</f>
        <v>#DIV/0!</v>
      </c>
      <c r="AL32" s="69" t="e">
        <f>((AC32*AG32*AK32)+(AD32*AH32*AK32)+(AE32*AI32*AK32)+(AF32*AJ32*AK32))*'Summary Sheet'!$D$6</f>
        <v>#DIV/0!</v>
      </c>
      <c r="AN32">
        <v>2010</v>
      </c>
      <c r="AO32" s="9">
        <f>'E- &amp; NG Prices'!AA6</f>
        <v>58.44</v>
      </c>
      <c r="AP32" s="9">
        <f>'E- &amp; NG Prices'!AB6</f>
        <v>76.84834262913272</v>
      </c>
      <c r="AQ32" s="9">
        <f>'E- &amp; NG Prices'!AC6</f>
        <v>63.25986043472776</v>
      </c>
      <c r="AR32" s="9">
        <f>'E- &amp; NG Prices'!AD6</f>
        <v>70.84124004143358</v>
      </c>
      <c r="AS32" s="9">
        <f>'E- &amp; NG Prices'!AE6</f>
        <v>52.562885117839926</v>
      </c>
      <c r="AT32" s="68">
        <f>'Summary Sheet'!$E$17</f>
        <v>0</v>
      </c>
      <c r="AU32" s="68">
        <f>'Summary Sheet'!$E$18</f>
        <v>0</v>
      </c>
      <c r="AV32" s="68">
        <f>'Summary Sheet'!$E$19</f>
        <v>0</v>
      </c>
      <c r="AW32" s="68">
        <f>'Summary Sheet'!$E$20</f>
        <v>0</v>
      </c>
      <c r="AX32" s="10" t="e">
        <f>'Summary Sheet'!$E$11-'Summary Sheet'!$E$12</f>
        <v>#DIV/0!</v>
      </c>
      <c r="AY32" s="69" t="e">
        <f>((AP32*AT32*AX32)+(AQ32*AU32*AX32)+(AR32*AV32*AX32)+(AS32*AW32*AX32))*'Summary Sheet'!$E$6</f>
        <v>#DIV/0!</v>
      </c>
      <c r="BA32">
        <v>2010</v>
      </c>
      <c r="BB32" s="9">
        <f>'E- &amp; NG Prices'!B6</f>
        <v>58.44</v>
      </c>
      <c r="BC32" s="9">
        <f>'E- &amp; NG Prices'!C6</f>
        <v>76.84834262913272</v>
      </c>
      <c r="BD32" s="9">
        <f>'E- &amp; NG Prices'!D6</f>
        <v>63.25986043472776</v>
      </c>
      <c r="BE32" s="9">
        <f>'E- &amp; NG Prices'!E6</f>
        <v>70.84124004143358</v>
      </c>
      <c r="BF32" s="9">
        <f>'E- &amp; NG Prices'!F6</f>
        <v>52.562885117839926</v>
      </c>
      <c r="BG32" s="68">
        <f>'Summary Sheet'!$F$17</f>
        <v>0</v>
      </c>
      <c r="BH32" s="68">
        <f>'Summary Sheet'!$F$18</f>
        <v>0</v>
      </c>
      <c r="BI32" s="68">
        <f>'Summary Sheet'!$F$19</f>
        <v>0</v>
      </c>
      <c r="BJ32" s="68">
        <f>'Summary Sheet'!$F$20</f>
        <v>0</v>
      </c>
      <c r="BK32" s="10" t="e">
        <f>'Summary Sheet'!$F$11-'Summary Sheet'!$F$12</f>
        <v>#DIV/0!</v>
      </c>
      <c r="BL32" s="69" t="e">
        <f>((BC32*BG32*BK32)+(BD32*BH32*BK32)+(BE32*BI32*BK32)+(BF32*BJ32*BK32))*'Summary Sheet'!$F$6</f>
        <v>#DIV/0!</v>
      </c>
      <c r="BN32">
        <v>2010</v>
      </c>
      <c r="BO32" s="9">
        <f>'E- &amp; NG Prices'!B6</f>
        <v>58.44</v>
      </c>
      <c r="BP32" s="9">
        <f>'E- &amp; NG Prices'!C6</f>
        <v>76.84834262913272</v>
      </c>
      <c r="BQ32" s="9">
        <f>'E- &amp; NG Prices'!D6</f>
        <v>63.25986043472776</v>
      </c>
      <c r="BR32" s="9">
        <f>'E- &amp; NG Prices'!E6</f>
        <v>70.84124004143358</v>
      </c>
      <c r="BS32" s="9">
        <f>'E- &amp; NG Prices'!F6</f>
        <v>52.562885117839926</v>
      </c>
      <c r="BT32" s="68">
        <f>'Summary Sheet'!$G$17</f>
        <v>0</v>
      </c>
      <c r="BU32" s="68">
        <f>'Summary Sheet'!$G$18</f>
        <v>0</v>
      </c>
      <c r="BV32" s="68">
        <f>'Summary Sheet'!$G$19</f>
        <v>0</v>
      </c>
      <c r="BW32" s="68">
        <f>'Summary Sheet'!$G$20</f>
        <v>0</v>
      </c>
      <c r="BX32" s="10" t="e">
        <f>'Summary Sheet'!$G$11-'Summary Sheet'!$G$12</f>
        <v>#DIV/0!</v>
      </c>
      <c r="BY32" s="69" t="e">
        <f>((BP32*BT32*BX32)+(BQ32*BU32*BX32)+(BR32*BV32*BX32)+(BS32*BW32*BX32))*'Summary Sheet'!$G$6</f>
        <v>#DIV/0!</v>
      </c>
    </row>
    <row r="33" spans="1:77" ht="12.75">
      <c r="A33">
        <v>2011</v>
      </c>
      <c r="B33" s="68">
        <f>'E- &amp; NG Prices'!B7</f>
        <v>60.668278828045935</v>
      </c>
      <c r="C33" s="68">
        <f>'E- &amp; NG Prices'!C7</f>
        <v>80.12916830265912</v>
      </c>
      <c r="D33" s="68">
        <f>'E- &amp; NG Prices'!D7</f>
        <v>66.05530028444265</v>
      </c>
      <c r="E33" s="68">
        <f>'E- &amp; NG Prices'!E7</f>
        <v>73.7239360707755</v>
      </c>
      <c r="F33" s="68">
        <f>'E- &amp; NG Prices'!F7</f>
        <v>54.465048139982116</v>
      </c>
      <c r="G33" s="68">
        <f>'Summary Sheet'!$B$17</f>
        <v>0</v>
      </c>
      <c r="H33" s="68">
        <f>'Summary Sheet'!$B$18</f>
        <v>0</v>
      </c>
      <c r="I33" s="68">
        <f>'Summary Sheet'!$B$19</f>
        <v>0</v>
      </c>
      <c r="J33" s="68">
        <f>'Summary Sheet'!$B$20</f>
        <v>0</v>
      </c>
      <c r="K33" s="10" t="e">
        <f>'Summary Sheet'!$B$11-'Summary Sheet'!$B$12</f>
        <v>#DIV/0!</v>
      </c>
      <c r="L33" s="69" t="e">
        <f>((C33*G33*K33)+(D33*H33*K33)+(E33*I33*K33)+(F33*J33*K33))*'Summary Sheet'!$B$6</f>
        <v>#DIV/0!</v>
      </c>
      <c r="N33">
        <v>2011</v>
      </c>
      <c r="O33" s="9">
        <f>'E- &amp; NG Prices'!J7</f>
        <v>60.668278828045935</v>
      </c>
      <c r="P33" s="9">
        <f>'E- &amp; NG Prices'!K7</f>
        <v>80.12916830265912</v>
      </c>
      <c r="Q33" s="9">
        <f>'E- &amp; NG Prices'!L7</f>
        <v>66.05530028444265</v>
      </c>
      <c r="R33" s="9">
        <f>'E- &amp; NG Prices'!M7</f>
        <v>73.7239360707755</v>
      </c>
      <c r="S33" s="9">
        <f>'E- &amp; NG Prices'!N7</f>
        <v>54.465048139982116</v>
      </c>
      <c r="T33" s="68">
        <f>'Summary Sheet'!$C$17</f>
        <v>0</v>
      </c>
      <c r="U33" s="68">
        <f>'Summary Sheet'!$C$18</f>
        <v>0</v>
      </c>
      <c r="V33" s="68">
        <f>'Summary Sheet'!$C$19</f>
        <v>0</v>
      </c>
      <c r="W33" s="68">
        <f>'Summary Sheet'!$C$20</f>
        <v>0</v>
      </c>
      <c r="X33" s="10" t="e">
        <f>'Summary Sheet'!$C$11-'Summary Sheet'!$C$12</f>
        <v>#DIV/0!</v>
      </c>
      <c r="Y33" s="69" t="e">
        <f>((P33*T33*X33)+(Q33*U33*X33)+(R33*V33*X33)+(S33*W33*X33))*'Summary Sheet'!$C$6</f>
        <v>#DIV/0!</v>
      </c>
      <c r="AA33">
        <v>2011</v>
      </c>
      <c r="AB33" s="9">
        <f>'E- &amp; NG Prices'!R7</f>
        <v>60.668278828045935</v>
      </c>
      <c r="AC33" s="9">
        <f>'E- &amp; NG Prices'!S7</f>
        <v>80.12916830265912</v>
      </c>
      <c r="AD33" s="9">
        <f>'E- &amp; NG Prices'!T7</f>
        <v>66.05530028444265</v>
      </c>
      <c r="AE33" s="9">
        <f>'E- &amp; NG Prices'!U7</f>
        <v>73.7239360707755</v>
      </c>
      <c r="AF33" s="9">
        <f>'E- &amp; NG Prices'!V7</f>
        <v>54.465048139982116</v>
      </c>
      <c r="AG33" s="68">
        <f>'Summary Sheet'!$D$17</f>
        <v>0</v>
      </c>
      <c r="AH33" s="68">
        <f>'Summary Sheet'!$D$18</f>
        <v>0</v>
      </c>
      <c r="AI33" s="68">
        <f>'Summary Sheet'!$D$19</f>
        <v>0</v>
      </c>
      <c r="AJ33" s="68">
        <f>'Summary Sheet'!$D$20</f>
        <v>0</v>
      </c>
      <c r="AK33" s="10" t="e">
        <f>'Summary Sheet'!$D$11-'Summary Sheet'!$D$12</f>
        <v>#DIV/0!</v>
      </c>
      <c r="AL33" s="69" t="e">
        <f>((AC33*AG33*AK33)+(AD33*AH33*AK33)+(AE33*AI33*AK33)+(AF33*AJ33*AK33))*'Summary Sheet'!$D$6</f>
        <v>#DIV/0!</v>
      </c>
      <c r="AN33">
        <v>2011</v>
      </c>
      <c r="AO33" s="9">
        <f>'E- &amp; NG Prices'!AA7</f>
        <v>60.668278828045935</v>
      </c>
      <c r="AP33" s="9">
        <f>'E- &amp; NG Prices'!AB7</f>
        <v>80.12916830265912</v>
      </c>
      <c r="AQ33" s="9">
        <f>'E- &amp; NG Prices'!AC7</f>
        <v>66.05530028444265</v>
      </c>
      <c r="AR33" s="9">
        <f>'E- &amp; NG Prices'!AD7</f>
        <v>73.7239360707755</v>
      </c>
      <c r="AS33" s="9">
        <f>'E- &amp; NG Prices'!AE7</f>
        <v>54.465048139982116</v>
      </c>
      <c r="AT33" s="68">
        <f>'Summary Sheet'!$E$17</f>
        <v>0</v>
      </c>
      <c r="AU33" s="68">
        <f>'Summary Sheet'!$E$18</f>
        <v>0</v>
      </c>
      <c r="AV33" s="68">
        <f>'Summary Sheet'!$E$19</f>
        <v>0</v>
      </c>
      <c r="AW33" s="68">
        <f>'Summary Sheet'!$E$20</f>
        <v>0</v>
      </c>
      <c r="AX33" s="10" t="e">
        <f>'Summary Sheet'!$E$11-'Summary Sheet'!$E$12</f>
        <v>#DIV/0!</v>
      </c>
      <c r="AY33" s="69" t="e">
        <f>((AP33*AT33*AX33)+(AQ33*AU33*AX33)+(AR33*AV33*AX33)+(AS33*AW33*AX33))*'Summary Sheet'!$E$6</f>
        <v>#DIV/0!</v>
      </c>
      <c r="BA33">
        <v>2011</v>
      </c>
      <c r="BB33" s="9">
        <f>'E- &amp; NG Prices'!B7</f>
        <v>60.668278828045935</v>
      </c>
      <c r="BC33" s="9">
        <f>'E- &amp; NG Prices'!C7</f>
        <v>80.12916830265912</v>
      </c>
      <c r="BD33" s="9">
        <f>'E- &amp; NG Prices'!D7</f>
        <v>66.05530028444265</v>
      </c>
      <c r="BE33" s="9">
        <f>'E- &amp; NG Prices'!E7</f>
        <v>73.7239360707755</v>
      </c>
      <c r="BF33" s="9">
        <f>'E- &amp; NG Prices'!F7</f>
        <v>54.465048139982116</v>
      </c>
      <c r="BG33" s="68">
        <f>'Summary Sheet'!$F$17</f>
        <v>0</v>
      </c>
      <c r="BH33" s="68">
        <f>'Summary Sheet'!$F$18</f>
        <v>0</v>
      </c>
      <c r="BI33" s="68">
        <f>'Summary Sheet'!$F$19</f>
        <v>0</v>
      </c>
      <c r="BJ33" s="68">
        <f>'Summary Sheet'!$F$20</f>
        <v>0</v>
      </c>
      <c r="BK33" s="10" t="e">
        <f>'Summary Sheet'!$F$11-'Summary Sheet'!$F$12</f>
        <v>#DIV/0!</v>
      </c>
      <c r="BL33" s="69" t="e">
        <f>((BC33*BG33*BK33)+(BD33*BH33*BK33)+(BE33*BI33*BK33)+(BF33*BJ33*BK33))*'Summary Sheet'!$F$6</f>
        <v>#DIV/0!</v>
      </c>
      <c r="BN33">
        <v>2011</v>
      </c>
      <c r="BO33" s="9">
        <f>'E- &amp; NG Prices'!B7</f>
        <v>60.668278828045935</v>
      </c>
      <c r="BP33" s="9">
        <f>'E- &amp; NG Prices'!C7</f>
        <v>80.12916830265912</v>
      </c>
      <c r="BQ33" s="9">
        <f>'E- &amp; NG Prices'!D7</f>
        <v>66.05530028444265</v>
      </c>
      <c r="BR33" s="9">
        <f>'E- &amp; NG Prices'!E7</f>
        <v>73.7239360707755</v>
      </c>
      <c r="BS33" s="9">
        <f>'E- &amp; NG Prices'!F7</f>
        <v>54.465048139982116</v>
      </c>
      <c r="BT33" s="68">
        <f>'Summary Sheet'!$G$17</f>
        <v>0</v>
      </c>
      <c r="BU33" s="68">
        <f>'Summary Sheet'!$G$18</f>
        <v>0</v>
      </c>
      <c r="BV33" s="68">
        <f>'Summary Sheet'!$G$19</f>
        <v>0</v>
      </c>
      <c r="BW33" s="68">
        <f>'Summary Sheet'!$G$20</f>
        <v>0</v>
      </c>
      <c r="BX33" s="10" t="e">
        <f>'Summary Sheet'!$G$11-'Summary Sheet'!$G$12</f>
        <v>#DIV/0!</v>
      </c>
      <c r="BY33" s="69" t="e">
        <f>((BP33*BT33*BX33)+(BQ33*BU33*BX33)+(BR33*BV33*BX33)+(BS33*BW33*BX33))*'Summary Sheet'!$G$6</f>
        <v>#DIV/0!</v>
      </c>
    </row>
    <row r="34" spans="1:77" ht="12.75">
      <c r="A34">
        <v>2012</v>
      </c>
      <c r="B34" s="68">
        <f>'E- &amp; NG Prices'!B8</f>
        <v>63.28014115247418</v>
      </c>
      <c r="C34" s="68">
        <f>'E- &amp; NG Prices'!C8</f>
        <v>83.91698986371415</v>
      </c>
      <c r="D34" s="68">
        <f>'E- &amp; NG Prices'!D8</f>
        <v>69.26955582665701</v>
      </c>
      <c r="E34" s="68">
        <f>'E- &amp; NG Prices'!E8</f>
        <v>77.07113975563719</v>
      </c>
      <c r="F34" s="68">
        <f>'E- &amp; NG Prices'!F8</f>
        <v>56.709050892434576</v>
      </c>
      <c r="G34" s="68">
        <f>'Summary Sheet'!$B$17</f>
        <v>0</v>
      </c>
      <c r="H34" s="68">
        <f>'Summary Sheet'!$B$18</f>
        <v>0</v>
      </c>
      <c r="I34" s="68">
        <f>'Summary Sheet'!$B$19</f>
        <v>0</v>
      </c>
      <c r="J34" s="68">
        <f>'Summary Sheet'!$B$20</f>
        <v>0</v>
      </c>
      <c r="K34" s="10" t="e">
        <f>'Summary Sheet'!$B$11-'Summary Sheet'!$B$12</f>
        <v>#DIV/0!</v>
      </c>
      <c r="L34" s="69" t="e">
        <f>((C34*G34*K34)+(D34*H34*K34)+(E34*I34*K34)+(F34*J34*K34))*'Summary Sheet'!$B$6</f>
        <v>#DIV/0!</v>
      </c>
      <c r="N34">
        <v>2012</v>
      </c>
      <c r="O34" s="9">
        <f>'E- &amp; NG Prices'!J8</f>
        <v>63.28014115247418</v>
      </c>
      <c r="P34" s="9">
        <f>'E- &amp; NG Prices'!K8</f>
        <v>83.91698986371415</v>
      </c>
      <c r="Q34" s="9">
        <f>'E- &amp; NG Prices'!L8</f>
        <v>69.26955582665701</v>
      </c>
      <c r="R34" s="9">
        <f>'E- &amp; NG Prices'!M8</f>
        <v>77.07113975563719</v>
      </c>
      <c r="S34" s="9">
        <f>'E- &amp; NG Prices'!N8</f>
        <v>56.709050892434576</v>
      </c>
      <c r="T34" s="68">
        <f>'Summary Sheet'!$C$17</f>
        <v>0</v>
      </c>
      <c r="U34" s="68">
        <f>'Summary Sheet'!$C$18</f>
        <v>0</v>
      </c>
      <c r="V34" s="68">
        <f>'Summary Sheet'!$C$19</f>
        <v>0</v>
      </c>
      <c r="W34" s="68">
        <f>'Summary Sheet'!$C$20</f>
        <v>0</v>
      </c>
      <c r="X34" s="10" t="e">
        <f>'Summary Sheet'!$C$11-'Summary Sheet'!$C$12</f>
        <v>#DIV/0!</v>
      </c>
      <c r="Y34" s="69" t="e">
        <f>((P34*T34*X34)+(Q34*U34*X34)+(R34*V34*X34)+(S34*W34*X34))*'Summary Sheet'!$C$6</f>
        <v>#DIV/0!</v>
      </c>
      <c r="AA34">
        <v>2012</v>
      </c>
      <c r="AB34" s="9">
        <f>'E- &amp; NG Prices'!R8</f>
        <v>63.28014115247418</v>
      </c>
      <c r="AC34" s="9">
        <f>'E- &amp; NG Prices'!S8</f>
        <v>83.91698986371415</v>
      </c>
      <c r="AD34" s="9">
        <f>'E- &amp; NG Prices'!T8</f>
        <v>69.26955582665701</v>
      </c>
      <c r="AE34" s="9">
        <f>'E- &amp; NG Prices'!U8</f>
        <v>77.07113975563719</v>
      </c>
      <c r="AF34" s="9">
        <f>'E- &amp; NG Prices'!V8</f>
        <v>56.709050892434576</v>
      </c>
      <c r="AG34" s="68">
        <f>'Summary Sheet'!$D$17</f>
        <v>0</v>
      </c>
      <c r="AH34" s="68">
        <f>'Summary Sheet'!$D$18</f>
        <v>0</v>
      </c>
      <c r="AI34" s="68">
        <f>'Summary Sheet'!$D$19</f>
        <v>0</v>
      </c>
      <c r="AJ34" s="68">
        <f>'Summary Sheet'!$D$20</f>
        <v>0</v>
      </c>
      <c r="AK34" s="10" t="e">
        <f>'Summary Sheet'!$D$11-'Summary Sheet'!$D$12</f>
        <v>#DIV/0!</v>
      </c>
      <c r="AL34" s="69" t="e">
        <f>((AC34*AG34*AK34)+(AD34*AH34*AK34)+(AE34*AI34*AK34)+(AF34*AJ34*AK34))*'Summary Sheet'!$D$6</f>
        <v>#DIV/0!</v>
      </c>
      <c r="AN34">
        <v>2012</v>
      </c>
      <c r="AO34" s="9">
        <f>'E- &amp; NG Prices'!AA8</f>
        <v>63.28014115247418</v>
      </c>
      <c r="AP34" s="9">
        <f>'E- &amp; NG Prices'!AB8</f>
        <v>83.91698986371415</v>
      </c>
      <c r="AQ34" s="9">
        <f>'E- &amp; NG Prices'!AC8</f>
        <v>69.26955582665701</v>
      </c>
      <c r="AR34" s="9">
        <f>'E- &amp; NG Prices'!AD8</f>
        <v>77.07113975563719</v>
      </c>
      <c r="AS34" s="9">
        <f>'E- &amp; NG Prices'!AE8</f>
        <v>56.709050892434576</v>
      </c>
      <c r="AT34" s="68">
        <f>'Summary Sheet'!$E$17</f>
        <v>0</v>
      </c>
      <c r="AU34" s="68">
        <f>'Summary Sheet'!$E$18</f>
        <v>0</v>
      </c>
      <c r="AV34" s="68">
        <f>'Summary Sheet'!$E$19</f>
        <v>0</v>
      </c>
      <c r="AW34" s="68">
        <f>'Summary Sheet'!$E$20</f>
        <v>0</v>
      </c>
      <c r="AX34" s="10" t="e">
        <f>'Summary Sheet'!$E$11-'Summary Sheet'!$E$12</f>
        <v>#DIV/0!</v>
      </c>
      <c r="AY34" s="69" t="e">
        <f>((AP34*AT34*AX34)+(AQ34*AU34*AX34)+(AR34*AV34*AX34)+(AS34*AW34*AX34))*'Summary Sheet'!$E$6</f>
        <v>#DIV/0!</v>
      </c>
      <c r="BA34">
        <v>2012</v>
      </c>
      <c r="BB34" s="9">
        <f>'E- &amp; NG Prices'!B8</f>
        <v>63.28014115247418</v>
      </c>
      <c r="BC34" s="9">
        <f>'E- &amp; NG Prices'!C8</f>
        <v>83.91698986371415</v>
      </c>
      <c r="BD34" s="9">
        <f>'E- &amp; NG Prices'!D8</f>
        <v>69.26955582665701</v>
      </c>
      <c r="BE34" s="9">
        <f>'E- &amp; NG Prices'!E8</f>
        <v>77.07113975563719</v>
      </c>
      <c r="BF34" s="9">
        <f>'E- &amp; NG Prices'!F8</f>
        <v>56.709050892434576</v>
      </c>
      <c r="BG34" s="68">
        <f>'Summary Sheet'!$F$17</f>
        <v>0</v>
      </c>
      <c r="BH34" s="68">
        <f>'Summary Sheet'!$F$18</f>
        <v>0</v>
      </c>
      <c r="BI34" s="68">
        <f>'Summary Sheet'!$F$19</f>
        <v>0</v>
      </c>
      <c r="BJ34" s="68">
        <f>'Summary Sheet'!$F$20</f>
        <v>0</v>
      </c>
      <c r="BK34" s="10" t="e">
        <f>'Summary Sheet'!$F$11-'Summary Sheet'!$F$12</f>
        <v>#DIV/0!</v>
      </c>
      <c r="BL34" s="69" t="e">
        <f>((BC34*BG34*BK34)+(BD34*BH34*BK34)+(BE34*BI34*BK34)+(BF34*BJ34*BK34))*'Summary Sheet'!$F$6</f>
        <v>#DIV/0!</v>
      </c>
      <c r="BN34">
        <v>2012</v>
      </c>
      <c r="BO34" s="9">
        <f>'E- &amp; NG Prices'!B8</f>
        <v>63.28014115247418</v>
      </c>
      <c r="BP34" s="9">
        <f>'E- &amp; NG Prices'!C8</f>
        <v>83.91698986371415</v>
      </c>
      <c r="BQ34" s="9">
        <f>'E- &amp; NG Prices'!D8</f>
        <v>69.26955582665701</v>
      </c>
      <c r="BR34" s="9">
        <f>'E- &amp; NG Prices'!E8</f>
        <v>77.07113975563719</v>
      </c>
      <c r="BS34" s="9">
        <f>'E- &amp; NG Prices'!F8</f>
        <v>56.709050892434576</v>
      </c>
      <c r="BT34" s="68">
        <f>'Summary Sheet'!$G$17</f>
        <v>0</v>
      </c>
      <c r="BU34" s="68">
        <f>'Summary Sheet'!$G$18</f>
        <v>0</v>
      </c>
      <c r="BV34" s="68">
        <f>'Summary Sheet'!$G$19</f>
        <v>0</v>
      </c>
      <c r="BW34" s="68">
        <f>'Summary Sheet'!$G$20</f>
        <v>0</v>
      </c>
      <c r="BX34" s="10" t="e">
        <f>'Summary Sheet'!$G$11-'Summary Sheet'!$G$12</f>
        <v>#DIV/0!</v>
      </c>
      <c r="BY34" s="69" t="e">
        <f>((BP34*BT34*BX34)+(BQ34*BU34*BX34)+(BR34*BV34*BX34)+(BS34*BW34*BX34))*'Summary Sheet'!$G$6</f>
        <v>#DIV/0!</v>
      </c>
    </row>
    <row r="35" spans="1:77" ht="12.75">
      <c r="A35">
        <v>2013</v>
      </c>
      <c r="B35" s="68">
        <f>'E- &amp; NG Prices'!B9</f>
        <v>66.05206395595728</v>
      </c>
      <c r="C35" s="68">
        <f>'E- &amp; NG Prices'!C9</f>
        <v>87.92016693952684</v>
      </c>
      <c r="D35" s="68">
        <f>'E- &amp; NG Prices'!D9</f>
        <v>72.66310327555654</v>
      </c>
      <c r="E35" s="68">
        <f>'E- &amp; NG Prices'!E9</f>
        <v>80.61324190520914</v>
      </c>
      <c r="F35" s="68">
        <f>'E- &amp; NG Prices'!F9</f>
        <v>59.09341461185456</v>
      </c>
      <c r="G35" s="68">
        <f>'Summary Sheet'!$B$17</f>
        <v>0</v>
      </c>
      <c r="H35" s="68">
        <f>'Summary Sheet'!$B$18</f>
        <v>0</v>
      </c>
      <c r="I35" s="68">
        <f>'Summary Sheet'!$B$19</f>
        <v>0</v>
      </c>
      <c r="J35" s="68">
        <f>'Summary Sheet'!$B$20</f>
        <v>0</v>
      </c>
      <c r="K35" s="10" t="e">
        <f>'Summary Sheet'!$B$11-'Summary Sheet'!$B$12</f>
        <v>#DIV/0!</v>
      </c>
      <c r="L35" s="69" t="e">
        <f>((C35*G35*K35)+(D35*H35*K35)+(E35*I35*K35)+(F35*J35*K35))*'Summary Sheet'!$B$6</f>
        <v>#DIV/0!</v>
      </c>
      <c r="N35">
        <v>2013</v>
      </c>
      <c r="O35" s="9">
        <f>'E- &amp; NG Prices'!J9</f>
        <v>66.05206395595728</v>
      </c>
      <c r="P35" s="9">
        <f>'E- &amp; NG Prices'!K9</f>
        <v>87.92016693952684</v>
      </c>
      <c r="Q35" s="9">
        <f>'E- &amp; NG Prices'!L9</f>
        <v>72.66310327555654</v>
      </c>
      <c r="R35" s="9">
        <f>'E- &amp; NG Prices'!M9</f>
        <v>80.61324190520914</v>
      </c>
      <c r="S35" s="9">
        <f>'E- &amp; NG Prices'!N9</f>
        <v>59.09341461185456</v>
      </c>
      <c r="T35" s="68">
        <f>'Summary Sheet'!$C$17</f>
        <v>0</v>
      </c>
      <c r="U35" s="68">
        <f>'Summary Sheet'!$C$18</f>
        <v>0</v>
      </c>
      <c r="V35" s="68">
        <f>'Summary Sheet'!$C$19</f>
        <v>0</v>
      </c>
      <c r="W35" s="68">
        <f>'Summary Sheet'!$C$20</f>
        <v>0</v>
      </c>
      <c r="X35" s="10" t="e">
        <f>'Summary Sheet'!$C$11-'Summary Sheet'!$C$12</f>
        <v>#DIV/0!</v>
      </c>
      <c r="Y35" s="69" t="e">
        <f>((P35*T35*X35)+(Q35*U35*X35)+(R35*V35*X35)+(S35*W35*X35))*'Summary Sheet'!$C$6</f>
        <v>#DIV/0!</v>
      </c>
      <c r="AA35">
        <v>2013</v>
      </c>
      <c r="AB35" s="9">
        <f>'E- &amp; NG Prices'!R9</f>
        <v>66.05206395595728</v>
      </c>
      <c r="AC35" s="9">
        <f>'E- &amp; NG Prices'!S9</f>
        <v>87.92016693952684</v>
      </c>
      <c r="AD35" s="9">
        <f>'E- &amp; NG Prices'!T9</f>
        <v>72.66310327555654</v>
      </c>
      <c r="AE35" s="9">
        <f>'E- &amp; NG Prices'!U9</f>
        <v>80.61324190520914</v>
      </c>
      <c r="AF35" s="9">
        <f>'E- &amp; NG Prices'!V9</f>
        <v>59.09341461185456</v>
      </c>
      <c r="AG35" s="68">
        <f>'Summary Sheet'!$D$17</f>
        <v>0</v>
      </c>
      <c r="AH35" s="68">
        <f>'Summary Sheet'!$D$18</f>
        <v>0</v>
      </c>
      <c r="AI35" s="68">
        <f>'Summary Sheet'!$D$19</f>
        <v>0</v>
      </c>
      <c r="AJ35" s="68">
        <f>'Summary Sheet'!$D$20</f>
        <v>0</v>
      </c>
      <c r="AK35" s="10" t="e">
        <f>'Summary Sheet'!$D$11-'Summary Sheet'!$D$12</f>
        <v>#DIV/0!</v>
      </c>
      <c r="AL35" s="69" t="e">
        <f>((AC35*AG35*AK35)+(AD35*AH35*AK35)+(AE35*AI35*AK35)+(AF35*AJ35*AK35))*'Summary Sheet'!$D$6</f>
        <v>#DIV/0!</v>
      </c>
      <c r="AN35">
        <v>2013</v>
      </c>
      <c r="AO35" s="9">
        <f>'E- &amp; NG Prices'!AA9</f>
        <v>66.05206395595728</v>
      </c>
      <c r="AP35" s="9">
        <f>'E- &amp; NG Prices'!AB9</f>
        <v>87.92016693952684</v>
      </c>
      <c r="AQ35" s="9">
        <f>'E- &amp; NG Prices'!AC9</f>
        <v>72.66310327555654</v>
      </c>
      <c r="AR35" s="9">
        <f>'E- &amp; NG Prices'!AD9</f>
        <v>80.61324190520914</v>
      </c>
      <c r="AS35" s="9">
        <f>'E- &amp; NG Prices'!AE9</f>
        <v>59.09341461185456</v>
      </c>
      <c r="AT35" s="68">
        <f>'Summary Sheet'!$E$17</f>
        <v>0</v>
      </c>
      <c r="AU35" s="68">
        <f>'Summary Sheet'!$E$18</f>
        <v>0</v>
      </c>
      <c r="AV35" s="68">
        <f>'Summary Sheet'!$E$19</f>
        <v>0</v>
      </c>
      <c r="AW35" s="68">
        <f>'Summary Sheet'!$E$20</f>
        <v>0</v>
      </c>
      <c r="AX35" s="10" t="e">
        <f>'Summary Sheet'!$E$11-'Summary Sheet'!$E$12</f>
        <v>#DIV/0!</v>
      </c>
      <c r="AY35" s="69" t="e">
        <f>((AP35*AT35*AX35)+(AQ35*AU35*AX35)+(AR35*AV35*AX35)+(AS35*AW35*AX35))*'Summary Sheet'!$E$6</f>
        <v>#DIV/0!</v>
      </c>
      <c r="BA35">
        <v>2013</v>
      </c>
      <c r="BB35" s="9">
        <f>'E- &amp; NG Prices'!B9</f>
        <v>66.05206395595728</v>
      </c>
      <c r="BC35" s="9">
        <f>'E- &amp; NG Prices'!C9</f>
        <v>87.92016693952684</v>
      </c>
      <c r="BD35" s="9">
        <f>'E- &amp; NG Prices'!D9</f>
        <v>72.66310327555654</v>
      </c>
      <c r="BE35" s="9">
        <f>'E- &amp; NG Prices'!E9</f>
        <v>80.61324190520914</v>
      </c>
      <c r="BF35" s="9">
        <f>'E- &amp; NG Prices'!F9</f>
        <v>59.09341461185456</v>
      </c>
      <c r="BG35" s="68">
        <f>'Summary Sheet'!$F$17</f>
        <v>0</v>
      </c>
      <c r="BH35" s="68">
        <f>'Summary Sheet'!$F$18</f>
        <v>0</v>
      </c>
      <c r="BI35" s="68">
        <f>'Summary Sheet'!$F$19</f>
        <v>0</v>
      </c>
      <c r="BJ35" s="68">
        <f>'Summary Sheet'!$F$20</f>
        <v>0</v>
      </c>
      <c r="BK35" s="10" t="e">
        <f>'Summary Sheet'!$F$11-'Summary Sheet'!$F$12</f>
        <v>#DIV/0!</v>
      </c>
      <c r="BL35" s="69" t="e">
        <f>((BC35*BG35*BK35)+(BD35*BH35*BK35)+(BE35*BI35*BK35)+(BF35*BJ35*BK35))*'Summary Sheet'!$F$6</f>
        <v>#DIV/0!</v>
      </c>
      <c r="BN35">
        <v>2013</v>
      </c>
      <c r="BO35" s="9">
        <f>'E- &amp; NG Prices'!B9</f>
        <v>66.05206395595728</v>
      </c>
      <c r="BP35" s="9">
        <f>'E- &amp; NG Prices'!C9</f>
        <v>87.92016693952684</v>
      </c>
      <c r="BQ35" s="9">
        <f>'E- &amp; NG Prices'!D9</f>
        <v>72.66310327555654</v>
      </c>
      <c r="BR35" s="9">
        <f>'E- &amp; NG Prices'!E9</f>
        <v>80.61324190520914</v>
      </c>
      <c r="BS35" s="9">
        <f>'E- &amp; NG Prices'!F9</f>
        <v>59.09341461185456</v>
      </c>
      <c r="BT35" s="68">
        <f>'Summary Sheet'!$G$17</f>
        <v>0</v>
      </c>
      <c r="BU35" s="68">
        <f>'Summary Sheet'!$G$18</f>
        <v>0</v>
      </c>
      <c r="BV35" s="68">
        <f>'Summary Sheet'!$G$19</f>
        <v>0</v>
      </c>
      <c r="BW35" s="68">
        <f>'Summary Sheet'!$G$20</f>
        <v>0</v>
      </c>
      <c r="BX35" s="10" t="e">
        <f>'Summary Sheet'!$G$11-'Summary Sheet'!$G$12</f>
        <v>#DIV/0!</v>
      </c>
      <c r="BY35" s="69" t="e">
        <f>((BP35*BT35*BX35)+(BQ35*BU35*BX35)+(BR35*BV35*BX35)+(BS35*BW35*BX35))*'Summary Sheet'!$G$6</f>
        <v>#DIV/0!</v>
      </c>
    </row>
    <row r="36" spans="1:77" ht="12.75">
      <c r="A36">
        <v>2014</v>
      </c>
      <c r="B36" s="68">
        <f>'E- &amp; NG Prices'!B10</f>
        <v>69.03614657929994</v>
      </c>
      <c r="C36" s="68">
        <f>'E- &amp; NG Prices'!C10</f>
        <v>92.21025739435018</v>
      </c>
      <c r="D36" s="68">
        <f>'E- &amp; NG Prices'!D10</f>
        <v>76.29562146700145</v>
      </c>
      <c r="E36" s="68">
        <f>'E- &amp; NG Prices'!E10</f>
        <v>84.41508643216976</v>
      </c>
      <c r="F36" s="68">
        <f>'E- &amp; NG Prices'!F10</f>
        <v>61.66427455138489</v>
      </c>
      <c r="G36" s="68">
        <f>'Summary Sheet'!$B$17</f>
        <v>0</v>
      </c>
      <c r="H36" s="68">
        <f>'Summary Sheet'!$B$18</f>
        <v>0</v>
      </c>
      <c r="I36" s="68">
        <f>'Summary Sheet'!$B$19</f>
        <v>0</v>
      </c>
      <c r="J36" s="68">
        <f>'Summary Sheet'!$B$20</f>
        <v>0</v>
      </c>
      <c r="K36" s="10" t="e">
        <f>'Summary Sheet'!$B$11-'Summary Sheet'!$B$12</f>
        <v>#DIV/0!</v>
      </c>
      <c r="L36" s="69" t="e">
        <f>((C36*G36*K36)+(D36*H36*K36)+(E36*I36*K36)+(F36*J36*K36))*'Summary Sheet'!$B$6</f>
        <v>#DIV/0!</v>
      </c>
      <c r="N36">
        <v>2014</v>
      </c>
      <c r="O36" s="9">
        <f>'E- &amp; NG Prices'!J10</f>
        <v>69.03614657929994</v>
      </c>
      <c r="P36" s="9">
        <f>'E- &amp; NG Prices'!K10</f>
        <v>92.21025739435018</v>
      </c>
      <c r="Q36" s="9">
        <f>'E- &amp; NG Prices'!L10</f>
        <v>76.29562146700145</v>
      </c>
      <c r="R36" s="9">
        <f>'E- &amp; NG Prices'!M10</f>
        <v>84.41508643216976</v>
      </c>
      <c r="S36" s="9">
        <f>'E- &amp; NG Prices'!N10</f>
        <v>61.66427455138489</v>
      </c>
      <c r="T36" s="68">
        <f>'Summary Sheet'!$C$17</f>
        <v>0</v>
      </c>
      <c r="U36" s="68">
        <f>'Summary Sheet'!$C$18</f>
        <v>0</v>
      </c>
      <c r="V36" s="68">
        <f>'Summary Sheet'!$C$19</f>
        <v>0</v>
      </c>
      <c r="W36" s="68">
        <f>'Summary Sheet'!$C$20</f>
        <v>0</v>
      </c>
      <c r="X36" s="10" t="e">
        <f>'Summary Sheet'!$C$11-'Summary Sheet'!$C$12</f>
        <v>#DIV/0!</v>
      </c>
      <c r="Y36" s="69" t="e">
        <f>((P36*T36*X36)+(Q36*U36*X36)+(R36*V36*X36)+(S36*W36*X36))*'Summary Sheet'!$C$6</f>
        <v>#DIV/0!</v>
      </c>
      <c r="AA36">
        <v>2014</v>
      </c>
      <c r="AB36" s="9">
        <f>'E- &amp; NG Prices'!R10</f>
        <v>69.03614657929994</v>
      </c>
      <c r="AC36" s="9">
        <f>'E- &amp; NG Prices'!S10</f>
        <v>92.21025739435018</v>
      </c>
      <c r="AD36" s="9">
        <f>'E- &amp; NG Prices'!T10</f>
        <v>76.29562146700145</v>
      </c>
      <c r="AE36" s="9">
        <f>'E- &amp; NG Prices'!U10</f>
        <v>84.41508643216976</v>
      </c>
      <c r="AF36" s="9">
        <f>'E- &amp; NG Prices'!V10</f>
        <v>61.66427455138489</v>
      </c>
      <c r="AG36" s="68">
        <f>'Summary Sheet'!$D$17</f>
        <v>0</v>
      </c>
      <c r="AH36" s="68">
        <f>'Summary Sheet'!$D$18</f>
        <v>0</v>
      </c>
      <c r="AI36" s="68">
        <f>'Summary Sheet'!$D$19</f>
        <v>0</v>
      </c>
      <c r="AJ36" s="68">
        <f>'Summary Sheet'!$D$20</f>
        <v>0</v>
      </c>
      <c r="AK36" s="10" t="e">
        <f>'Summary Sheet'!$D$11-'Summary Sheet'!$D$12</f>
        <v>#DIV/0!</v>
      </c>
      <c r="AL36" s="69" t="e">
        <f>((AC36*AG36*AK36)+(AD36*AH36*AK36)+(AE36*AI36*AK36)+(AF36*AJ36*AK36))*'Summary Sheet'!$D$6</f>
        <v>#DIV/0!</v>
      </c>
      <c r="AN36">
        <v>2014</v>
      </c>
      <c r="AO36" s="9">
        <f>'E- &amp; NG Prices'!AA10</f>
        <v>69.03614657929994</v>
      </c>
      <c r="AP36" s="9">
        <f>'E- &amp; NG Prices'!AB10</f>
        <v>92.21025739435018</v>
      </c>
      <c r="AQ36" s="9">
        <f>'E- &amp; NG Prices'!AC10</f>
        <v>76.29562146700145</v>
      </c>
      <c r="AR36" s="9">
        <f>'E- &amp; NG Prices'!AD10</f>
        <v>84.41508643216976</v>
      </c>
      <c r="AS36" s="9">
        <f>'E- &amp; NG Prices'!AE10</f>
        <v>61.66427455138489</v>
      </c>
      <c r="AT36" s="68">
        <f>'Summary Sheet'!$E$17</f>
        <v>0</v>
      </c>
      <c r="AU36" s="68">
        <f>'Summary Sheet'!$E$18</f>
        <v>0</v>
      </c>
      <c r="AV36" s="68">
        <f>'Summary Sheet'!$E$19</f>
        <v>0</v>
      </c>
      <c r="AW36" s="68">
        <f>'Summary Sheet'!$E$20</f>
        <v>0</v>
      </c>
      <c r="AX36" s="10" t="e">
        <f>'Summary Sheet'!$E$11-'Summary Sheet'!$E$12</f>
        <v>#DIV/0!</v>
      </c>
      <c r="AY36" s="69" t="e">
        <f>((AP36*AT36*AX36)+(AQ36*AU36*AX36)+(AR36*AV36*AX36)+(AS36*AW36*AX36))*'Summary Sheet'!$E$6</f>
        <v>#DIV/0!</v>
      </c>
      <c r="BA36">
        <v>2014</v>
      </c>
      <c r="BB36" s="9">
        <f>'E- &amp; NG Prices'!B10</f>
        <v>69.03614657929994</v>
      </c>
      <c r="BC36" s="9">
        <f>'E- &amp; NG Prices'!C10</f>
        <v>92.21025739435018</v>
      </c>
      <c r="BD36" s="9">
        <f>'E- &amp; NG Prices'!D10</f>
        <v>76.29562146700145</v>
      </c>
      <c r="BE36" s="9">
        <f>'E- &amp; NG Prices'!E10</f>
        <v>84.41508643216976</v>
      </c>
      <c r="BF36" s="9">
        <f>'E- &amp; NG Prices'!F10</f>
        <v>61.66427455138489</v>
      </c>
      <c r="BG36" s="68">
        <f>'Summary Sheet'!$F$17</f>
        <v>0</v>
      </c>
      <c r="BH36" s="68">
        <f>'Summary Sheet'!$F$18</f>
        <v>0</v>
      </c>
      <c r="BI36" s="68">
        <f>'Summary Sheet'!$F$19</f>
        <v>0</v>
      </c>
      <c r="BJ36" s="68">
        <f>'Summary Sheet'!$F$20</f>
        <v>0</v>
      </c>
      <c r="BK36" s="10" t="e">
        <f>'Summary Sheet'!$F$11-'Summary Sheet'!$F$12</f>
        <v>#DIV/0!</v>
      </c>
      <c r="BL36" s="69" t="e">
        <f>((BC36*BG36*BK36)+(BD36*BH36*BK36)+(BE36*BI36*BK36)+(BF36*BJ36*BK36))*'Summary Sheet'!$F$6</f>
        <v>#DIV/0!</v>
      </c>
      <c r="BN36">
        <v>2014</v>
      </c>
      <c r="BO36" s="9">
        <f>'E- &amp; NG Prices'!B10</f>
        <v>69.03614657929994</v>
      </c>
      <c r="BP36" s="9">
        <f>'E- &amp; NG Prices'!C10</f>
        <v>92.21025739435018</v>
      </c>
      <c r="BQ36" s="9">
        <f>'E- &amp; NG Prices'!D10</f>
        <v>76.29562146700145</v>
      </c>
      <c r="BR36" s="9">
        <f>'E- &amp; NG Prices'!E10</f>
        <v>84.41508643216976</v>
      </c>
      <c r="BS36" s="9">
        <f>'E- &amp; NG Prices'!F10</f>
        <v>61.66427455138489</v>
      </c>
      <c r="BT36" s="68">
        <f>'Summary Sheet'!$G$17</f>
        <v>0</v>
      </c>
      <c r="BU36" s="68">
        <f>'Summary Sheet'!$G$18</f>
        <v>0</v>
      </c>
      <c r="BV36" s="68">
        <f>'Summary Sheet'!$G$19</f>
        <v>0</v>
      </c>
      <c r="BW36" s="68">
        <f>'Summary Sheet'!$G$20</f>
        <v>0</v>
      </c>
      <c r="BX36" s="10" t="e">
        <f>'Summary Sheet'!$G$11-'Summary Sheet'!$G$12</f>
        <v>#DIV/0!</v>
      </c>
      <c r="BY36" s="69" t="e">
        <f>((BP36*BT36*BX36)+(BQ36*BU36*BX36)+(BR36*BV36*BX36)+(BS36*BW36*BX36))*'Summary Sheet'!$G$6</f>
        <v>#DIV/0!</v>
      </c>
    </row>
    <row r="37" spans="1:77" ht="12.75">
      <c r="A37">
        <v>2015</v>
      </c>
      <c r="B37" s="68">
        <f>'E- &amp; NG Prices'!B11</f>
        <v>71.94660105697673</v>
      </c>
      <c r="C37" s="68">
        <f>'E- &amp; NG Prices'!C11</f>
        <v>92.99488403661313</v>
      </c>
      <c r="D37" s="68">
        <f>'E- &amp; NG Prices'!D11</f>
        <v>78.79285051139584</v>
      </c>
      <c r="E37" s="68">
        <f>'E- &amp; NG Prices'!E11</f>
        <v>88.92209690470618</v>
      </c>
      <c r="F37" s="68">
        <f>'E- &amp; NG Prices'!F11</f>
        <v>65.05618880869723</v>
      </c>
      <c r="G37" s="68">
        <f>'Summary Sheet'!$B$17</f>
        <v>0</v>
      </c>
      <c r="H37" s="68">
        <f>'Summary Sheet'!$B$18</f>
        <v>0</v>
      </c>
      <c r="I37" s="68">
        <f>'Summary Sheet'!$B$19</f>
        <v>0</v>
      </c>
      <c r="J37" s="68">
        <f>'Summary Sheet'!$B$20</f>
        <v>0</v>
      </c>
      <c r="K37" s="10" t="e">
        <f>'Summary Sheet'!$B$11-'Summary Sheet'!$B$12</f>
        <v>#DIV/0!</v>
      </c>
      <c r="L37" s="69" t="e">
        <f>((C37*G37*K37)+(D37*H37*K37)+(E37*I37*K37)+(F37*J37*K37))*'Summary Sheet'!$B$6</f>
        <v>#DIV/0!</v>
      </c>
      <c r="N37">
        <v>2015</v>
      </c>
      <c r="O37" s="9">
        <f>'E- &amp; NG Prices'!J11</f>
        <v>71.94660105697673</v>
      </c>
      <c r="P37" s="9">
        <f>'E- &amp; NG Prices'!K11</f>
        <v>92.99488403661313</v>
      </c>
      <c r="Q37" s="9">
        <f>'E- &amp; NG Prices'!L11</f>
        <v>78.79285051139584</v>
      </c>
      <c r="R37" s="9">
        <f>'E- &amp; NG Prices'!M11</f>
        <v>88.92209690470618</v>
      </c>
      <c r="S37" s="9">
        <f>'E- &amp; NG Prices'!N11</f>
        <v>65.05618880869723</v>
      </c>
      <c r="T37" s="68">
        <f>'Summary Sheet'!$C$17</f>
        <v>0</v>
      </c>
      <c r="U37" s="68">
        <f>'Summary Sheet'!$C$18</f>
        <v>0</v>
      </c>
      <c r="V37" s="68">
        <f>'Summary Sheet'!$C$19</f>
        <v>0</v>
      </c>
      <c r="W37" s="68">
        <f>'Summary Sheet'!$C$20</f>
        <v>0</v>
      </c>
      <c r="X37" s="10" t="e">
        <f>'Summary Sheet'!$C$11-'Summary Sheet'!$C$12</f>
        <v>#DIV/0!</v>
      </c>
      <c r="Y37" s="69" t="e">
        <f>((P37*T37*X37)+(Q37*U37*X37)+(R37*V37*X37)+(S37*W37*X37))*'Summary Sheet'!$C$6</f>
        <v>#DIV/0!</v>
      </c>
      <c r="AA37">
        <v>2015</v>
      </c>
      <c r="AB37" s="9">
        <f>'E- &amp; NG Prices'!R11</f>
        <v>71.94660105697673</v>
      </c>
      <c r="AC37" s="9">
        <f>'E- &amp; NG Prices'!S11</f>
        <v>92.99488403661313</v>
      </c>
      <c r="AD37" s="9">
        <f>'E- &amp; NG Prices'!T11</f>
        <v>78.79285051139584</v>
      </c>
      <c r="AE37" s="9">
        <f>'E- &amp; NG Prices'!U11</f>
        <v>88.92209690470618</v>
      </c>
      <c r="AF37" s="9">
        <f>'E- &amp; NG Prices'!V11</f>
        <v>65.05618880869723</v>
      </c>
      <c r="AG37" s="68">
        <f>'Summary Sheet'!$D$17</f>
        <v>0</v>
      </c>
      <c r="AH37" s="68">
        <f>'Summary Sheet'!$D$18</f>
        <v>0</v>
      </c>
      <c r="AI37" s="68">
        <f>'Summary Sheet'!$D$19</f>
        <v>0</v>
      </c>
      <c r="AJ37" s="68">
        <f>'Summary Sheet'!$D$20</f>
        <v>0</v>
      </c>
      <c r="AK37" s="10" t="e">
        <f>'Summary Sheet'!$D$11-'Summary Sheet'!$D$12</f>
        <v>#DIV/0!</v>
      </c>
      <c r="AL37" s="69" t="e">
        <f>((AC37*AG37*AK37)+(AD37*AH37*AK37)+(AE37*AI37*AK37)+(AF37*AJ37*AK37))*'Summary Sheet'!$D$6</f>
        <v>#DIV/0!</v>
      </c>
      <c r="AN37">
        <v>2015</v>
      </c>
      <c r="AO37" s="9">
        <f>'E- &amp; NG Prices'!AA11</f>
        <v>71.94660105697673</v>
      </c>
      <c r="AP37" s="9">
        <f>'E- &amp; NG Prices'!AB11</f>
        <v>92.99488403661313</v>
      </c>
      <c r="AQ37" s="9">
        <f>'E- &amp; NG Prices'!AC11</f>
        <v>78.79285051139584</v>
      </c>
      <c r="AR37" s="9">
        <f>'E- &amp; NG Prices'!AD11</f>
        <v>88.92209690470618</v>
      </c>
      <c r="AS37" s="9">
        <f>'E- &amp; NG Prices'!AE11</f>
        <v>65.05618880869723</v>
      </c>
      <c r="AT37" s="68">
        <f>'Summary Sheet'!$E$17</f>
        <v>0</v>
      </c>
      <c r="AU37" s="68">
        <f>'Summary Sheet'!$E$18</f>
        <v>0</v>
      </c>
      <c r="AV37" s="68">
        <f>'Summary Sheet'!$E$19</f>
        <v>0</v>
      </c>
      <c r="AW37" s="68">
        <f>'Summary Sheet'!$E$20</f>
        <v>0</v>
      </c>
      <c r="AX37" s="10" t="e">
        <f>'Summary Sheet'!$E$11-'Summary Sheet'!$E$12</f>
        <v>#DIV/0!</v>
      </c>
      <c r="AY37" s="69" t="e">
        <f>((AP37*AT37*AX37)+(AQ37*AU37*AX37)+(AR37*AV37*AX37)+(AS37*AW37*AX37))*'Summary Sheet'!$E$6</f>
        <v>#DIV/0!</v>
      </c>
      <c r="BA37">
        <v>2015</v>
      </c>
      <c r="BB37" s="9">
        <f>'E- &amp; NG Prices'!B11</f>
        <v>71.94660105697673</v>
      </c>
      <c r="BC37" s="9">
        <f>'E- &amp; NG Prices'!C11</f>
        <v>92.99488403661313</v>
      </c>
      <c r="BD37" s="9">
        <f>'E- &amp; NG Prices'!D11</f>
        <v>78.79285051139584</v>
      </c>
      <c r="BE37" s="9">
        <f>'E- &amp; NG Prices'!E11</f>
        <v>88.92209690470618</v>
      </c>
      <c r="BF37" s="9">
        <f>'E- &amp; NG Prices'!F11</f>
        <v>65.05618880869723</v>
      </c>
      <c r="BG37" s="68">
        <f>'Summary Sheet'!$F$17</f>
        <v>0</v>
      </c>
      <c r="BH37" s="68">
        <f>'Summary Sheet'!$F$18</f>
        <v>0</v>
      </c>
      <c r="BI37" s="68">
        <f>'Summary Sheet'!$F$19</f>
        <v>0</v>
      </c>
      <c r="BJ37" s="68">
        <f>'Summary Sheet'!$F$20</f>
        <v>0</v>
      </c>
      <c r="BK37" s="10" t="e">
        <f>'Summary Sheet'!$F$11-'Summary Sheet'!$F$12</f>
        <v>#DIV/0!</v>
      </c>
      <c r="BL37" s="69" t="e">
        <f>((BC37*BG37*BK37)+(BD37*BH37*BK37)+(BE37*BI37*BK37)+(BF37*BJ37*BK37))*'Summary Sheet'!$F$6</f>
        <v>#DIV/0!</v>
      </c>
      <c r="BN37">
        <v>2015</v>
      </c>
      <c r="BO37" s="9">
        <f>'E- &amp; NG Prices'!B11</f>
        <v>71.94660105697673</v>
      </c>
      <c r="BP37" s="9">
        <f>'E- &amp; NG Prices'!C11</f>
        <v>92.99488403661313</v>
      </c>
      <c r="BQ37" s="9">
        <f>'E- &amp; NG Prices'!D11</f>
        <v>78.79285051139584</v>
      </c>
      <c r="BR37" s="9">
        <f>'E- &amp; NG Prices'!E11</f>
        <v>88.92209690470618</v>
      </c>
      <c r="BS37" s="9">
        <f>'E- &amp; NG Prices'!F11</f>
        <v>65.05618880869723</v>
      </c>
      <c r="BT37" s="68">
        <f>'Summary Sheet'!$G$17</f>
        <v>0</v>
      </c>
      <c r="BU37" s="68">
        <f>'Summary Sheet'!$G$18</f>
        <v>0</v>
      </c>
      <c r="BV37" s="68">
        <f>'Summary Sheet'!$G$19</f>
        <v>0</v>
      </c>
      <c r="BW37" s="68">
        <f>'Summary Sheet'!$G$20</f>
        <v>0</v>
      </c>
      <c r="BX37" s="10" t="e">
        <f>'Summary Sheet'!$G$11-'Summary Sheet'!$G$12</f>
        <v>#DIV/0!</v>
      </c>
      <c r="BY37" s="69" t="e">
        <f>((BP37*BT37*BX37)+(BQ37*BU37*BX37)+(BR37*BV37*BX37)+(BS37*BW37*BX37))*'Summary Sheet'!$G$6</f>
        <v>#DIV/0!</v>
      </c>
    </row>
    <row r="38" spans="1:77" ht="12.75">
      <c r="A38">
        <v>2016</v>
      </c>
      <c r="B38" s="68">
        <f>'E- &amp; NG Prices'!B12</f>
        <v>74.69405249890711</v>
      </c>
      <c r="C38" s="68">
        <f>'E- &amp; NG Prices'!C12</f>
        <v>97.92832555292688</v>
      </c>
      <c r="D38" s="68">
        <f>'E- &amp; NG Prices'!D12</f>
        <v>82.99418356486201</v>
      </c>
      <c r="E38" s="68">
        <f>'E- &amp; NG Prices'!E12</f>
        <v>92.30247628233852</v>
      </c>
      <c r="F38" s="68">
        <f>'E- &amp; NG Prices'!F12</f>
        <v>67.31486336721797</v>
      </c>
      <c r="G38" s="68">
        <f>'Summary Sheet'!$B$17</f>
        <v>0</v>
      </c>
      <c r="H38" s="68">
        <f>'Summary Sheet'!$B$18</f>
        <v>0</v>
      </c>
      <c r="I38" s="68">
        <f>'Summary Sheet'!$B$19</f>
        <v>0</v>
      </c>
      <c r="J38" s="68">
        <f>'Summary Sheet'!$B$20</f>
        <v>0</v>
      </c>
      <c r="K38" s="10" t="e">
        <f>'Summary Sheet'!$B$11-'Summary Sheet'!$B$12</f>
        <v>#DIV/0!</v>
      </c>
      <c r="L38" s="69" t="e">
        <f>((C38*G38*K38)+(D38*H38*K38)+(E38*I38*K38)+(F38*J38*K38))*'Summary Sheet'!$B$6</f>
        <v>#DIV/0!</v>
      </c>
      <c r="N38">
        <v>2016</v>
      </c>
      <c r="O38" s="9">
        <f>'E- &amp; NG Prices'!J12</f>
        <v>74.69405249890711</v>
      </c>
      <c r="P38" s="9">
        <f>'E- &amp; NG Prices'!K12</f>
        <v>97.92832555292688</v>
      </c>
      <c r="Q38" s="9">
        <f>'E- &amp; NG Prices'!L12</f>
        <v>82.99418356486201</v>
      </c>
      <c r="R38" s="9">
        <f>'E- &amp; NG Prices'!M12</f>
        <v>92.30247628233852</v>
      </c>
      <c r="S38" s="9">
        <f>'E- &amp; NG Prices'!N12</f>
        <v>67.31486336721797</v>
      </c>
      <c r="T38" s="68">
        <f>'Summary Sheet'!$C$17</f>
        <v>0</v>
      </c>
      <c r="U38" s="68">
        <f>'Summary Sheet'!$C$18</f>
        <v>0</v>
      </c>
      <c r="V38" s="68">
        <f>'Summary Sheet'!$C$19</f>
        <v>0</v>
      </c>
      <c r="W38" s="68">
        <f>'Summary Sheet'!$C$20</f>
        <v>0</v>
      </c>
      <c r="X38" s="10" t="e">
        <f>'Summary Sheet'!$C$11-'Summary Sheet'!$C$12</f>
        <v>#DIV/0!</v>
      </c>
      <c r="Y38" s="69" t="e">
        <f>((P38*T38*X38)+(Q38*U38*X38)+(R38*V38*X38)+(S38*W38*X38))*'Summary Sheet'!$C$6</f>
        <v>#DIV/0!</v>
      </c>
      <c r="AA38">
        <v>2016</v>
      </c>
      <c r="AB38" s="9">
        <f>'E- &amp; NG Prices'!R12</f>
        <v>74.69405249890711</v>
      </c>
      <c r="AC38" s="9">
        <f>'E- &amp; NG Prices'!S12</f>
        <v>97.92832555292688</v>
      </c>
      <c r="AD38" s="9">
        <f>'E- &amp; NG Prices'!T12</f>
        <v>82.99418356486201</v>
      </c>
      <c r="AE38" s="9">
        <f>'E- &amp; NG Prices'!U12</f>
        <v>92.30247628233852</v>
      </c>
      <c r="AF38" s="9">
        <f>'E- &amp; NG Prices'!V12</f>
        <v>67.31486336721797</v>
      </c>
      <c r="AG38" s="68">
        <f>'Summary Sheet'!$D$17</f>
        <v>0</v>
      </c>
      <c r="AH38" s="68">
        <f>'Summary Sheet'!$D$18</f>
        <v>0</v>
      </c>
      <c r="AI38" s="68">
        <f>'Summary Sheet'!$D$19</f>
        <v>0</v>
      </c>
      <c r="AJ38" s="68">
        <f>'Summary Sheet'!$D$20</f>
        <v>0</v>
      </c>
      <c r="AK38" s="10" t="e">
        <f>'Summary Sheet'!$D$11-'Summary Sheet'!$D$12</f>
        <v>#DIV/0!</v>
      </c>
      <c r="AL38" s="69" t="e">
        <f>((AC38*AG38*AK38)+(AD38*AH38*AK38)+(AE38*AI38*AK38)+(AF38*AJ38*AK38))*'Summary Sheet'!$D$6</f>
        <v>#DIV/0!</v>
      </c>
      <c r="AN38">
        <v>2016</v>
      </c>
      <c r="AO38" s="9">
        <f>'E- &amp; NG Prices'!AA12</f>
        <v>74.69405249890711</v>
      </c>
      <c r="AP38" s="9">
        <f>'E- &amp; NG Prices'!AB12</f>
        <v>97.92832555292688</v>
      </c>
      <c r="AQ38" s="9">
        <f>'E- &amp; NG Prices'!AC12</f>
        <v>82.99418356486201</v>
      </c>
      <c r="AR38" s="9">
        <f>'E- &amp; NG Prices'!AD12</f>
        <v>92.30247628233852</v>
      </c>
      <c r="AS38" s="9">
        <f>'E- &amp; NG Prices'!AE12</f>
        <v>67.31486336721797</v>
      </c>
      <c r="AT38" s="68">
        <f>'Summary Sheet'!$E$17</f>
        <v>0</v>
      </c>
      <c r="AU38" s="68">
        <f>'Summary Sheet'!$E$18</f>
        <v>0</v>
      </c>
      <c r="AV38" s="68">
        <f>'Summary Sheet'!$E$19</f>
        <v>0</v>
      </c>
      <c r="AW38" s="68">
        <f>'Summary Sheet'!$E$20</f>
        <v>0</v>
      </c>
      <c r="AX38" s="10" t="e">
        <f>'Summary Sheet'!$E$11-'Summary Sheet'!$E$12</f>
        <v>#DIV/0!</v>
      </c>
      <c r="AY38" s="69" t="e">
        <f>((AP38*AT38*AX38)+(AQ38*AU38*AX38)+(AR38*AV38*AX38)+(AS38*AW38*AX38))*'Summary Sheet'!$E$6</f>
        <v>#DIV/0!</v>
      </c>
      <c r="BA38">
        <v>2016</v>
      </c>
      <c r="BB38" s="9">
        <f>'E- &amp; NG Prices'!B12</f>
        <v>74.69405249890711</v>
      </c>
      <c r="BC38" s="9">
        <f>'E- &amp; NG Prices'!C12</f>
        <v>97.92832555292688</v>
      </c>
      <c r="BD38" s="9">
        <f>'E- &amp; NG Prices'!D12</f>
        <v>82.99418356486201</v>
      </c>
      <c r="BE38" s="9">
        <f>'E- &amp; NG Prices'!E12</f>
        <v>92.30247628233852</v>
      </c>
      <c r="BF38" s="9">
        <f>'E- &amp; NG Prices'!F12</f>
        <v>67.31486336721797</v>
      </c>
      <c r="BG38" s="68">
        <f>'Summary Sheet'!$F$17</f>
        <v>0</v>
      </c>
      <c r="BH38" s="68">
        <f>'Summary Sheet'!$F$18</f>
        <v>0</v>
      </c>
      <c r="BI38" s="68">
        <f>'Summary Sheet'!$F$19</f>
        <v>0</v>
      </c>
      <c r="BJ38" s="68">
        <f>'Summary Sheet'!$F$20</f>
        <v>0</v>
      </c>
      <c r="BK38" s="10" t="e">
        <f>'Summary Sheet'!$F$11-'Summary Sheet'!$F$12</f>
        <v>#DIV/0!</v>
      </c>
      <c r="BL38" s="69" t="e">
        <f>((BC38*BG38*BK38)+(BD38*BH38*BK38)+(BE38*BI38*BK38)+(BF38*BJ38*BK38))*'Summary Sheet'!$F$6</f>
        <v>#DIV/0!</v>
      </c>
      <c r="BN38">
        <v>2016</v>
      </c>
      <c r="BO38" s="9">
        <f>'E- &amp; NG Prices'!B12</f>
        <v>74.69405249890711</v>
      </c>
      <c r="BP38" s="9">
        <f>'E- &amp; NG Prices'!C12</f>
        <v>97.92832555292688</v>
      </c>
      <c r="BQ38" s="9">
        <f>'E- &amp; NG Prices'!D12</f>
        <v>82.99418356486201</v>
      </c>
      <c r="BR38" s="9">
        <f>'E- &amp; NG Prices'!E12</f>
        <v>92.30247628233852</v>
      </c>
      <c r="BS38" s="9">
        <f>'E- &amp; NG Prices'!F12</f>
        <v>67.31486336721797</v>
      </c>
      <c r="BT38" s="68">
        <f>'Summary Sheet'!$G$17</f>
        <v>0</v>
      </c>
      <c r="BU38" s="68">
        <f>'Summary Sheet'!$G$18</f>
        <v>0</v>
      </c>
      <c r="BV38" s="68">
        <f>'Summary Sheet'!$G$19</f>
        <v>0</v>
      </c>
      <c r="BW38" s="68">
        <f>'Summary Sheet'!$G$20</f>
        <v>0</v>
      </c>
      <c r="BX38" s="10" t="e">
        <f>'Summary Sheet'!$G$11-'Summary Sheet'!$G$12</f>
        <v>#DIV/0!</v>
      </c>
      <c r="BY38" s="69" t="e">
        <f>((BP38*BT38*BX38)+(BQ38*BU38*BX38)+(BR38*BV38*BX38)+(BS38*BW38*BX38))*'Summary Sheet'!$G$6</f>
        <v>#DIV/0!</v>
      </c>
    </row>
    <row r="39" spans="1:77" ht="12.75">
      <c r="A39">
        <v>2017</v>
      </c>
      <c r="B39" s="68">
        <f>'E- &amp; NG Prices'!B13</f>
        <v>77.55979788587842</v>
      </c>
      <c r="C39" s="68">
        <f>'E- &amp; NG Prices'!C13</f>
        <v>103.02981332033735</v>
      </c>
      <c r="D39" s="68">
        <f>'E- &amp; NG Prices'!D13</f>
        <v>87.33869948267457</v>
      </c>
      <c r="E39" s="68">
        <f>'E- &amp; NG Prices'!E13</f>
        <v>95.79268039031086</v>
      </c>
      <c r="F39" s="68">
        <f>'E- &amp; NG Prices'!F13</f>
        <v>69.65176701234704</v>
      </c>
      <c r="G39" s="68">
        <f>'Summary Sheet'!$B$17</f>
        <v>0</v>
      </c>
      <c r="H39" s="68">
        <f>'Summary Sheet'!$B$18</f>
        <v>0</v>
      </c>
      <c r="I39" s="68">
        <f>'Summary Sheet'!$B$19</f>
        <v>0</v>
      </c>
      <c r="J39" s="68">
        <f>'Summary Sheet'!$B$20</f>
        <v>0</v>
      </c>
      <c r="K39" s="10" t="e">
        <f>'Summary Sheet'!$B$11-'Summary Sheet'!$B$12</f>
        <v>#DIV/0!</v>
      </c>
      <c r="L39" s="69" t="e">
        <f>((C39*G39*K39)+(D39*H39*K39)+(E39*I39*K39)+(F39*J39*K39))*'Summary Sheet'!$B$6</f>
        <v>#DIV/0!</v>
      </c>
      <c r="N39">
        <v>2017</v>
      </c>
      <c r="O39" s="9">
        <f>'E- &amp; NG Prices'!J13</f>
        <v>77.55979788587842</v>
      </c>
      <c r="P39" s="9">
        <f>'E- &amp; NG Prices'!K13</f>
        <v>103.02981332033735</v>
      </c>
      <c r="Q39" s="9">
        <f>'E- &amp; NG Prices'!L13</f>
        <v>87.33869948267457</v>
      </c>
      <c r="R39" s="9">
        <f>'E- &amp; NG Prices'!M13</f>
        <v>95.79268039031086</v>
      </c>
      <c r="S39" s="9">
        <f>'E- &amp; NG Prices'!N13</f>
        <v>69.65176701234704</v>
      </c>
      <c r="T39" s="68">
        <f>'Summary Sheet'!$C$17</f>
        <v>0</v>
      </c>
      <c r="U39" s="68">
        <f>'Summary Sheet'!$C$18</f>
        <v>0</v>
      </c>
      <c r="V39" s="68">
        <f>'Summary Sheet'!$C$19</f>
        <v>0</v>
      </c>
      <c r="W39" s="68">
        <f>'Summary Sheet'!$C$20</f>
        <v>0</v>
      </c>
      <c r="X39" s="10" t="e">
        <f>'Summary Sheet'!$C$11-'Summary Sheet'!$C$12</f>
        <v>#DIV/0!</v>
      </c>
      <c r="Y39" s="69" t="e">
        <f>((P39*T39*X39)+(Q39*U39*X39)+(R39*V39*X39)+(S39*W39*X39))*'Summary Sheet'!$C$6</f>
        <v>#DIV/0!</v>
      </c>
      <c r="AA39">
        <v>2017</v>
      </c>
      <c r="AB39" s="9">
        <f>'E- &amp; NG Prices'!R13</f>
        <v>77.55979788587842</v>
      </c>
      <c r="AC39" s="9">
        <f>'E- &amp; NG Prices'!S13</f>
        <v>103.02981332033735</v>
      </c>
      <c r="AD39" s="9">
        <f>'E- &amp; NG Prices'!T13</f>
        <v>87.33869948267457</v>
      </c>
      <c r="AE39" s="9">
        <f>'E- &amp; NG Prices'!U13</f>
        <v>95.79268039031086</v>
      </c>
      <c r="AF39" s="9">
        <f>'E- &amp; NG Prices'!V13</f>
        <v>69.65176701234704</v>
      </c>
      <c r="AG39" s="68">
        <f>'Summary Sheet'!$D$17</f>
        <v>0</v>
      </c>
      <c r="AH39" s="68">
        <f>'Summary Sheet'!$D$18</f>
        <v>0</v>
      </c>
      <c r="AI39" s="68">
        <f>'Summary Sheet'!$D$19</f>
        <v>0</v>
      </c>
      <c r="AJ39" s="68">
        <f>'Summary Sheet'!$D$20</f>
        <v>0</v>
      </c>
      <c r="AK39" s="10" t="e">
        <f>'Summary Sheet'!$D$11-'Summary Sheet'!$D$12</f>
        <v>#DIV/0!</v>
      </c>
      <c r="AL39" s="69" t="e">
        <f>((AC39*AG39*AK39)+(AD39*AH39*AK39)+(AE39*AI39*AK39)+(AF39*AJ39*AK39))*'Summary Sheet'!$D$6</f>
        <v>#DIV/0!</v>
      </c>
      <c r="AN39">
        <v>2017</v>
      </c>
      <c r="AO39" s="9">
        <f>'E- &amp; NG Prices'!AA13</f>
        <v>77.55979788587842</v>
      </c>
      <c r="AP39" s="9">
        <f>'E- &amp; NG Prices'!AB13</f>
        <v>103.02981332033735</v>
      </c>
      <c r="AQ39" s="9">
        <f>'E- &amp; NG Prices'!AC13</f>
        <v>87.33869948267457</v>
      </c>
      <c r="AR39" s="9">
        <f>'E- &amp; NG Prices'!AD13</f>
        <v>95.79268039031086</v>
      </c>
      <c r="AS39" s="9">
        <f>'E- &amp; NG Prices'!AE13</f>
        <v>69.65176701234704</v>
      </c>
      <c r="AT39" s="68">
        <f>'Summary Sheet'!$E$17</f>
        <v>0</v>
      </c>
      <c r="AU39" s="68">
        <f>'Summary Sheet'!$E$18</f>
        <v>0</v>
      </c>
      <c r="AV39" s="68">
        <f>'Summary Sheet'!$E$19</f>
        <v>0</v>
      </c>
      <c r="AW39" s="68">
        <f>'Summary Sheet'!$E$20</f>
        <v>0</v>
      </c>
      <c r="AX39" s="10" t="e">
        <f>'Summary Sheet'!$E$11-'Summary Sheet'!$E$12</f>
        <v>#DIV/0!</v>
      </c>
      <c r="AY39" s="69" t="e">
        <f>((AP39*AT39*AX39)+(AQ39*AU39*AX39)+(AR39*AV39*AX39)+(AS39*AW39*AX39))*'Summary Sheet'!$E$6</f>
        <v>#DIV/0!</v>
      </c>
      <c r="BA39">
        <v>2017</v>
      </c>
      <c r="BB39" s="9">
        <f>'E- &amp; NG Prices'!B13</f>
        <v>77.55979788587842</v>
      </c>
      <c r="BC39" s="9">
        <f>'E- &amp; NG Prices'!C13</f>
        <v>103.02981332033735</v>
      </c>
      <c r="BD39" s="9">
        <f>'E- &amp; NG Prices'!D13</f>
        <v>87.33869948267457</v>
      </c>
      <c r="BE39" s="9">
        <f>'E- &amp; NG Prices'!E13</f>
        <v>95.79268039031086</v>
      </c>
      <c r="BF39" s="9">
        <f>'E- &amp; NG Prices'!F13</f>
        <v>69.65176701234704</v>
      </c>
      <c r="BG39" s="68">
        <f>'Summary Sheet'!$F$17</f>
        <v>0</v>
      </c>
      <c r="BH39" s="68">
        <f>'Summary Sheet'!$F$18</f>
        <v>0</v>
      </c>
      <c r="BI39" s="68">
        <f>'Summary Sheet'!$F$19</f>
        <v>0</v>
      </c>
      <c r="BJ39" s="68">
        <f>'Summary Sheet'!$F$20</f>
        <v>0</v>
      </c>
      <c r="BK39" s="10" t="e">
        <f>'Summary Sheet'!$F$11-'Summary Sheet'!$F$12</f>
        <v>#DIV/0!</v>
      </c>
      <c r="BL39" s="69" t="e">
        <f>((BC39*BG39*BK39)+(BD39*BH39*BK39)+(BE39*BI39*BK39)+(BF39*BJ39*BK39))*'Summary Sheet'!$F$6</f>
        <v>#DIV/0!</v>
      </c>
      <c r="BN39">
        <v>2017</v>
      </c>
      <c r="BO39" s="9">
        <f>'E- &amp; NG Prices'!B13</f>
        <v>77.55979788587842</v>
      </c>
      <c r="BP39" s="9">
        <f>'E- &amp; NG Prices'!C13</f>
        <v>103.02981332033735</v>
      </c>
      <c r="BQ39" s="9">
        <f>'E- &amp; NG Prices'!D13</f>
        <v>87.33869948267457</v>
      </c>
      <c r="BR39" s="9">
        <f>'E- &amp; NG Prices'!E13</f>
        <v>95.79268039031086</v>
      </c>
      <c r="BS39" s="9">
        <f>'E- &amp; NG Prices'!F13</f>
        <v>69.65176701234704</v>
      </c>
      <c r="BT39" s="68">
        <f>'Summary Sheet'!$G$17</f>
        <v>0</v>
      </c>
      <c r="BU39" s="68">
        <f>'Summary Sheet'!$G$18</f>
        <v>0</v>
      </c>
      <c r="BV39" s="68">
        <f>'Summary Sheet'!$G$19</f>
        <v>0</v>
      </c>
      <c r="BW39" s="68">
        <f>'Summary Sheet'!$G$20</f>
        <v>0</v>
      </c>
      <c r="BX39" s="10" t="e">
        <f>'Summary Sheet'!$G$11-'Summary Sheet'!$G$12</f>
        <v>#DIV/0!</v>
      </c>
      <c r="BY39" s="69" t="e">
        <f>((BP39*BT39*BX39)+(BQ39*BU39*BX39)+(BR39*BV39*BX39)+(BS39*BW39*BX39))*'Summary Sheet'!$G$6</f>
        <v>#DIV/0!</v>
      </c>
    </row>
    <row r="40" spans="1:77" ht="12.75">
      <c r="A40">
        <v>2018</v>
      </c>
      <c r="B40" s="68">
        <f>'E- &amp; NG Prices'!B14</f>
        <v>80.70447772745008</v>
      </c>
      <c r="C40" s="68">
        <f>'E- &amp; NG Prices'!C14</f>
        <v>108.52012327726533</v>
      </c>
      <c r="D40" s="68">
        <f>'E- &amp; NG Prices'!D14</f>
        <v>92.01362227910253</v>
      </c>
      <c r="E40" s="68">
        <f>'E- &amp; NG Prices'!E14</f>
        <v>99.59351216536949</v>
      </c>
      <c r="F40" s="68">
        <f>'E- &amp; NG Prices'!F14</f>
        <v>72.21197210735802</v>
      </c>
      <c r="G40" s="68">
        <f>'Summary Sheet'!$B$17</f>
        <v>0</v>
      </c>
      <c r="H40" s="68">
        <f>'Summary Sheet'!$B$18</f>
        <v>0</v>
      </c>
      <c r="I40" s="68">
        <f>'Summary Sheet'!$B$19</f>
        <v>0</v>
      </c>
      <c r="J40" s="68">
        <f>'Summary Sheet'!$B$20</f>
        <v>0</v>
      </c>
      <c r="K40" s="10" t="e">
        <f>'Summary Sheet'!$B$11-'Summary Sheet'!$B$12</f>
        <v>#DIV/0!</v>
      </c>
      <c r="L40" s="69" t="e">
        <f>((C40*G40*K40)+(D40*H40*K40)+(E40*I40*K40)+(F40*J40*K40))*'Summary Sheet'!$B$6</f>
        <v>#DIV/0!</v>
      </c>
      <c r="N40">
        <v>2018</v>
      </c>
      <c r="O40" s="9">
        <f>'E- &amp; NG Prices'!J14</f>
        <v>80.70447772745008</v>
      </c>
      <c r="P40" s="9">
        <f>'E- &amp; NG Prices'!K14</f>
        <v>108.52012327726533</v>
      </c>
      <c r="Q40" s="9">
        <f>'E- &amp; NG Prices'!L14</f>
        <v>92.01362227910253</v>
      </c>
      <c r="R40" s="9">
        <f>'E- &amp; NG Prices'!M14</f>
        <v>99.59351216536949</v>
      </c>
      <c r="S40" s="9">
        <f>'E- &amp; NG Prices'!N14</f>
        <v>72.21197210735802</v>
      </c>
      <c r="T40" s="68">
        <f>'Summary Sheet'!$C$17</f>
        <v>0</v>
      </c>
      <c r="U40" s="68">
        <f>'Summary Sheet'!$C$18</f>
        <v>0</v>
      </c>
      <c r="V40" s="68">
        <f>'Summary Sheet'!$C$19</f>
        <v>0</v>
      </c>
      <c r="W40" s="68">
        <f>'Summary Sheet'!$C$20</f>
        <v>0</v>
      </c>
      <c r="X40" s="10" t="e">
        <f>'Summary Sheet'!$C$11-'Summary Sheet'!$C$12</f>
        <v>#DIV/0!</v>
      </c>
      <c r="Y40" s="69" t="e">
        <f>((P40*T40*X40)+(Q40*U40*X40)+(R40*V40*X40)+(S40*W40*X40))*'Summary Sheet'!$C$6</f>
        <v>#DIV/0!</v>
      </c>
      <c r="AA40">
        <v>2018</v>
      </c>
      <c r="AB40" s="9">
        <f>'E- &amp; NG Prices'!R14</f>
        <v>80.70447772745008</v>
      </c>
      <c r="AC40" s="9">
        <f>'E- &amp; NG Prices'!S14</f>
        <v>108.52012327726533</v>
      </c>
      <c r="AD40" s="9">
        <f>'E- &amp; NG Prices'!T14</f>
        <v>92.01362227910253</v>
      </c>
      <c r="AE40" s="9">
        <f>'E- &amp; NG Prices'!U14</f>
        <v>99.59351216536949</v>
      </c>
      <c r="AF40" s="9">
        <f>'E- &amp; NG Prices'!V14</f>
        <v>72.21197210735802</v>
      </c>
      <c r="AG40" s="68">
        <f>'Summary Sheet'!$D$17</f>
        <v>0</v>
      </c>
      <c r="AH40" s="68">
        <f>'Summary Sheet'!$D$18</f>
        <v>0</v>
      </c>
      <c r="AI40" s="68">
        <f>'Summary Sheet'!$D$19</f>
        <v>0</v>
      </c>
      <c r="AJ40" s="68">
        <f>'Summary Sheet'!$D$20</f>
        <v>0</v>
      </c>
      <c r="AK40" s="10" t="e">
        <f>'Summary Sheet'!$D$11-'Summary Sheet'!$D$12</f>
        <v>#DIV/0!</v>
      </c>
      <c r="AL40" s="69" t="e">
        <f>((AC40*AG40*AK40)+(AD40*AH40*AK40)+(AE40*AI40*AK40)+(AF40*AJ40*AK40))*'Summary Sheet'!$D$6</f>
        <v>#DIV/0!</v>
      </c>
      <c r="AN40">
        <v>2018</v>
      </c>
      <c r="AO40" s="9">
        <f>'E- &amp; NG Prices'!AA14</f>
        <v>80.70447772745008</v>
      </c>
      <c r="AP40" s="9">
        <f>'E- &amp; NG Prices'!AB14</f>
        <v>108.52012327726533</v>
      </c>
      <c r="AQ40" s="9">
        <f>'E- &amp; NG Prices'!AC14</f>
        <v>92.01362227910253</v>
      </c>
      <c r="AR40" s="9">
        <f>'E- &amp; NG Prices'!AD14</f>
        <v>99.59351216536949</v>
      </c>
      <c r="AS40" s="9">
        <f>'E- &amp; NG Prices'!AE14</f>
        <v>72.21197210735802</v>
      </c>
      <c r="AT40" s="68">
        <f>'Summary Sheet'!$E$17</f>
        <v>0</v>
      </c>
      <c r="AU40" s="68">
        <f>'Summary Sheet'!$E$18</f>
        <v>0</v>
      </c>
      <c r="AV40" s="68">
        <f>'Summary Sheet'!$E$19</f>
        <v>0</v>
      </c>
      <c r="AW40" s="68">
        <f>'Summary Sheet'!$E$20</f>
        <v>0</v>
      </c>
      <c r="AX40" s="10" t="e">
        <f>'Summary Sheet'!$E$11-'Summary Sheet'!$E$12</f>
        <v>#DIV/0!</v>
      </c>
      <c r="AY40" s="69" t="e">
        <f>((AP40*AT40*AX40)+(AQ40*AU40*AX40)+(AR40*AV40*AX40)+(AS40*AW40*AX40))*'Summary Sheet'!$E$6</f>
        <v>#DIV/0!</v>
      </c>
      <c r="BA40">
        <v>2018</v>
      </c>
      <c r="BB40" s="9">
        <f>'E- &amp; NG Prices'!B14</f>
        <v>80.70447772745008</v>
      </c>
      <c r="BC40" s="9">
        <f>'E- &amp; NG Prices'!C14</f>
        <v>108.52012327726533</v>
      </c>
      <c r="BD40" s="9">
        <f>'E- &amp; NG Prices'!D14</f>
        <v>92.01362227910253</v>
      </c>
      <c r="BE40" s="9">
        <f>'E- &amp; NG Prices'!E14</f>
        <v>99.59351216536949</v>
      </c>
      <c r="BF40" s="9">
        <f>'E- &amp; NG Prices'!F14</f>
        <v>72.21197210735802</v>
      </c>
      <c r="BG40" s="68">
        <f>'Summary Sheet'!$F$17</f>
        <v>0</v>
      </c>
      <c r="BH40" s="68">
        <f>'Summary Sheet'!$F$18</f>
        <v>0</v>
      </c>
      <c r="BI40" s="68">
        <f>'Summary Sheet'!$F$19</f>
        <v>0</v>
      </c>
      <c r="BJ40" s="68">
        <f>'Summary Sheet'!$F$20</f>
        <v>0</v>
      </c>
      <c r="BK40" s="10" t="e">
        <f>'Summary Sheet'!$F$11-'Summary Sheet'!$F$12</f>
        <v>#DIV/0!</v>
      </c>
      <c r="BL40" s="69" t="e">
        <f>((BC40*BG40*BK40)+(BD40*BH40*BK40)+(BE40*BI40*BK40)+(BF40*BJ40*BK40))*'Summary Sheet'!$F$6</f>
        <v>#DIV/0!</v>
      </c>
      <c r="BN40">
        <v>2018</v>
      </c>
      <c r="BO40" s="9">
        <f>'E- &amp; NG Prices'!B14</f>
        <v>80.70447772745008</v>
      </c>
      <c r="BP40" s="9">
        <f>'E- &amp; NG Prices'!C14</f>
        <v>108.52012327726533</v>
      </c>
      <c r="BQ40" s="9">
        <f>'E- &amp; NG Prices'!D14</f>
        <v>92.01362227910253</v>
      </c>
      <c r="BR40" s="9">
        <f>'E- &amp; NG Prices'!E14</f>
        <v>99.59351216536949</v>
      </c>
      <c r="BS40" s="9">
        <f>'E- &amp; NG Prices'!F14</f>
        <v>72.21197210735802</v>
      </c>
      <c r="BT40" s="68">
        <f>'Summary Sheet'!$G$17</f>
        <v>0</v>
      </c>
      <c r="BU40" s="68">
        <f>'Summary Sheet'!$G$18</f>
        <v>0</v>
      </c>
      <c r="BV40" s="68">
        <f>'Summary Sheet'!$G$19</f>
        <v>0</v>
      </c>
      <c r="BW40" s="68">
        <f>'Summary Sheet'!$G$20</f>
        <v>0</v>
      </c>
      <c r="BX40" s="10" t="e">
        <f>'Summary Sheet'!$G$11-'Summary Sheet'!$G$12</f>
        <v>#DIV/0!</v>
      </c>
      <c r="BY40" s="69" t="e">
        <f>((BP40*BT40*BX40)+(BQ40*BU40*BX40)+(BR40*BV40*BX40)+(BS40*BW40*BX40))*'Summary Sheet'!$G$6</f>
        <v>#DIV/0!</v>
      </c>
    </row>
    <row r="41" spans="1:77" ht="12.75">
      <c r="A41">
        <v>2019</v>
      </c>
      <c r="B41" s="68">
        <f>'E- &amp; NG Prices'!B15</f>
        <v>83.7925509906266</v>
      </c>
      <c r="C41" s="68">
        <f>'E- &amp; NG Prices'!C15</f>
        <v>113.95450697567365</v>
      </c>
      <c r="D41" s="68">
        <f>'E- &amp; NG Prices'!D15</f>
        <v>96.64191713215203</v>
      </c>
      <c r="E41" s="68">
        <f>'E- &amp; NG Prices'!E15</f>
        <v>103.29274955186754</v>
      </c>
      <c r="F41" s="68">
        <f>'E- &amp; NG Prices'!F15</f>
        <v>74.69576383570367</v>
      </c>
      <c r="G41" s="68">
        <f>'Summary Sheet'!$B$17</f>
        <v>0</v>
      </c>
      <c r="H41" s="68">
        <f>'Summary Sheet'!$B$18</f>
        <v>0</v>
      </c>
      <c r="I41" s="68">
        <f>'Summary Sheet'!$B$19</f>
        <v>0</v>
      </c>
      <c r="J41" s="68">
        <f>'Summary Sheet'!$B$20</f>
        <v>0</v>
      </c>
      <c r="K41" s="10" t="e">
        <f>'Summary Sheet'!$B$11-'Summary Sheet'!$B$12</f>
        <v>#DIV/0!</v>
      </c>
      <c r="L41" s="69" t="e">
        <f>((C41*G41*K41)+(D41*H41*K41)+(E41*I41*K41)+(F41*J41*K41))*'Summary Sheet'!$B$6</f>
        <v>#DIV/0!</v>
      </c>
      <c r="N41">
        <v>2019</v>
      </c>
      <c r="O41" s="9">
        <f>'E- &amp; NG Prices'!J15</f>
        <v>83.7925509906266</v>
      </c>
      <c r="P41" s="9">
        <f>'E- &amp; NG Prices'!K15</f>
        <v>113.95450697567365</v>
      </c>
      <c r="Q41" s="9">
        <f>'E- &amp; NG Prices'!L15</f>
        <v>96.64191713215203</v>
      </c>
      <c r="R41" s="9">
        <f>'E- &amp; NG Prices'!M15</f>
        <v>103.29274955186754</v>
      </c>
      <c r="S41" s="9">
        <f>'E- &amp; NG Prices'!N15</f>
        <v>74.69576383570367</v>
      </c>
      <c r="T41" s="68">
        <f>'Summary Sheet'!$C$17</f>
        <v>0</v>
      </c>
      <c r="U41" s="68">
        <f>'Summary Sheet'!$C$18</f>
        <v>0</v>
      </c>
      <c r="V41" s="68">
        <f>'Summary Sheet'!$C$19</f>
        <v>0</v>
      </c>
      <c r="W41" s="68">
        <f>'Summary Sheet'!$C$20</f>
        <v>0</v>
      </c>
      <c r="X41" s="10" t="e">
        <f>'Summary Sheet'!$C$11-'Summary Sheet'!$C$12</f>
        <v>#DIV/0!</v>
      </c>
      <c r="Y41" s="69" t="e">
        <f>((P41*T41*X41)+(Q41*U41*X41)+(R41*V41*X41)+(S41*W41*X41))*'Summary Sheet'!$C$6</f>
        <v>#DIV/0!</v>
      </c>
      <c r="AA41">
        <v>2019</v>
      </c>
      <c r="AB41" s="9">
        <f>'E- &amp; NG Prices'!R15</f>
        <v>83.7925509906266</v>
      </c>
      <c r="AC41" s="9">
        <f>'E- &amp; NG Prices'!S15</f>
        <v>113.95450697567365</v>
      </c>
      <c r="AD41" s="9">
        <f>'E- &amp; NG Prices'!T15</f>
        <v>96.64191713215203</v>
      </c>
      <c r="AE41" s="9">
        <f>'E- &amp; NG Prices'!U15</f>
        <v>103.29274955186754</v>
      </c>
      <c r="AF41" s="9">
        <f>'E- &amp; NG Prices'!V15</f>
        <v>74.69576383570367</v>
      </c>
      <c r="AG41" s="68">
        <f>'Summary Sheet'!$D$17</f>
        <v>0</v>
      </c>
      <c r="AH41" s="68">
        <f>'Summary Sheet'!$D$18</f>
        <v>0</v>
      </c>
      <c r="AI41" s="68">
        <f>'Summary Sheet'!$D$19</f>
        <v>0</v>
      </c>
      <c r="AJ41" s="68">
        <f>'Summary Sheet'!$D$20</f>
        <v>0</v>
      </c>
      <c r="AK41" s="10" t="e">
        <f>'Summary Sheet'!$D$11-'Summary Sheet'!$D$12</f>
        <v>#DIV/0!</v>
      </c>
      <c r="AL41" s="69" t="e">
        <f>((AC41*AG41*AK41)+(AD41*AH41*AK41)+(AE41*AI41*AK41)+(AF41*AJ41*AK41))*'Summary Sheet'!$D$6</f>
        <v>#DIV/0!</v>
      </c>
      <c r="AN41">
        <v>2019</v>
      </c>
      <c r="AO41" s="9">
        <f>'E- &amp; NG Prices'!AA15</f>
        <v>83.7925509906266</v>
      </c>
      <c r="AP41" s="9">
        <f>'E- &amp; NG Prices'!AB15</f>
        <v>113.95450697567365</v>
      </c>
      <c r="AQ41" s="9">
        <f>'E- &amp; NG Prices'!AC15</f>
        <v>96.64191713215203</v>
      </c>
      <c r="AR41" s="9">
        <f>'E- &amp; NG Prices'!AD15</f>
        <v>103.29274955186754</v>
      </c>
      <c r="AS41" s="9">
        <f>'E- &amp; NG Prices'!AE15</f>
        <v>74.69576383570367</v>
      </c>
      <c r="AT41" s="68">
        <f>'Summary Sheet'!$E$17</f>
        <v>0</v>
      </c>
      <c r="AU41" s="68">
        <f>'Summary Sheet'!$E$18</f>
        <v>0</v>
      </c>
      <c r="AV41" s="68">
        <f>'Summary Sheet'!$E$19</f>
        <v>0</v>
      </c>
      <c r="AW41" s="68">
        <f>'Summary Sheet'!$E$20</f>
        <v>0</v>
      </c>
      <c r="AX41" s="10" t="e">
        <f>'Summary Sheet'!$E$11-'Summary Sheet'!$E$12</f>
        <v>#DIV/0!</v>
      </c>
      <c r="AY41" s="69" t="e">
        <f>((AP41*AT41*AX41)+(AQ41*AU41*AX41)+(AR41*AV41*AX41)+(AS41*AW41*AX41))*'Summary Sheet'!$E$6</f>
        <v>#DIV/0!</v>
      </c>
      <c r="BA41">
        <v>2019</v>
      </c>
      <c r="BB41" s="9">
        <f>'E- &amp; NG Prices'!B15</f>
        <v>83.7925509906266</v>
      </c>
      <c r="BC41" s="9">
        <f>'E- &amp; NG Prices'!C15</f>
        <v>113.95450697567365</v>
      </c>
      <c r="BD41" s="9">
        <f>'E- &amp; NG Prices'!D15</f>
        <v>96.64191713215203</v>
      </c>
      <c r="BE41" s="9">
        <f>'E- &amp; NG Prices'!E15</f>
        <v>103.29274955186754</v>
      </c>
      <c r="BF41" s="9">
        <f>'E- &amp; NG Prices'!F15</f>
        <v>74.69576383570367</v>
      </c>
      <c r="BG41" s="68">
        <f>'Summary Sheet'!$F$17</f>
        <v>0</v>
      </c>
      <c r="BH41" s="68">
        <f>'Summary Sheet'!$F$18</f>
        <v>0</v>
      </c>
      <c r="BI41" s="68">
        <f>'Summary Sheet'!$F$19</f>
        <v>0</v>
      </c>
      <c r="BJ41" s="68">
        <f>'Summary Sheet'!$F$20</f>
        <v>0</v>
      </c>
      <c r="BK41" s="10" t="e">
        <f>'Summary Sheet'!$F$11-'Summary Sheet'!$F$12</f>
        <v>#DIV/0!</v>
      </c>
      <c r="BL41" s="69" t="e">
        <f>((BC41*BG41*BK41)+(BD41*BH41*BK41)+(BE41*BI41*BK41)+(BF41*BJ41*BK41))*'Summary Sheet'!$F$6</f>
        <v>#DIV/0!</v>
      </c>
      <c r="BN41">
        <v>2019</v>
      </c>
      <c r="BO41" s="9">
        <f>'E- &amp; NG Prices'!B15</f>
        <v>83.7925509906266</v>
      </c>
      <c r="BP41" s="9">
        <f>'E- &amp; NG Prices'!C15</f>
        <v>113.95450697567365</v>
      </c>
      <c r="BQ41" s="9">
        <f>'E- &amp; NG Prices'!D15</f>
        <v>96.64191713215203</v>
      </c>
      <c r="BR41" s="9">
        <f>'E- &amp; NG Prices'!E15</f>
        <v>103.29274955186754</v>
      </c>
      <c r="BS41" s="9">
        <f>'E- &amp; NG Prices'!F15</f>
        <v>74.69576383570367</v>
      </c>
      <c r="BT41" s="68">
        <f>'Summary Sheet'!$G$17</f>
        <v>0</v>
      </c>
      <c r="BU41" s="68">
        <f>'Summary Sheet'!$G$18</f>
        <v>0</v>
      </c>
      <c r="BV41" s="68">
        <f>'Summary Sheet'!$G$19</f>
        <v>0</v>
      </c>
      <c r="BW41" s="68">
        <f>'Summary Sheet'!$G$20</f>
        <v>0</v>
      </c>
      <c r="BX41" s="10" t="e">
        <f>'Summary Sheet'!$G$11-'Summary Sheet'!$G$12</f>
        <v>#DIV/0!</v>
      </c>
      <c r="BY41" s="69" t="e">
        <f>((BP41*BT41*BX41)+(BQ41*BU41*BX41)+(BR41*BV41*BX41)+(BS41*BW41*BX41))*'Summary Sheet'!$G$6</f>
        <v>#DIV/0!</v>
      </c>
    </row>
    <row r="42" spans="1:77" ht="12.75">
      <c r="A42">
        <v>2020</v>
      </c>
      <c r="B42" s="68">
        <f>'E- &amp; NG Prices'!B16</f>
        <v>87.00028815475157</v>
      </c>
      <c r="C42" s="68">
        <f>'E- &amp; NG Prices'!C16</f>
        <v>119.21765393457325</v>
      </c>
      <c r="D42" s="68">
        <f>'E- &amp; NG Prices'!D16</f>
        <v>104.58408712806742</v>
      </c>
      <c r="E42" s="68">
        <f>'E- &amp; NG Prices'!E16</f>
        <v>108.51779743063926</v>
      </c>
      <c r="F42" s="68">
        <f>'E- &amp; NG Prices'!F16</f>
        <v>77.57073809967918</v>
      </c>
      <c r="G42" s="68">
        <f>'Summary Sheet'!$B$17</f>
        <v>0</v>
      </c>
      <c r="H42" s="68">
        <f>'Summary Sheet'!$B$18</f>
        <v>0</v>
      </c>
      <c r="I42" s="68">
        <f>'Summary Sheet'!$B$19</f>
        <v>0</v>
      </c>
      <c r="J42" s="68">
        <f>'Summary Sheet'!$B$20</f>
        <v>0</v>
      </c>
      <c r="K42" s="10" t="e">
        <f>'Summary Sheet'!$B$11-'Summary Sheet'!$B$12</f>
        <v>#DIV/0!</v>
      </c>
      <c r="L42" s="69" t="e">
        <f>((C42*G42*K42)+(D42*H42*K42)+(E42*I42*K42)+(F42*J42*K42))*'Summary Sheet'!$B$6</f>
        <v>#DIV/0!</v>
      </c>
      <c r="N42">
        <v>2020</v>
      </c>
      <c r="O42" s="9">
        <f>'E- &amp; NG Prices'!J16</f>
        <v>87.00028815475157</v>
      </c>
      <c r="P42" s="9">
        <f>'E- &amp; NG Prices'!K16</f>
        <v>119.21765393457325</v>
      </c>
      <c r="Q42" s="9">
        <f>'E- &amp; NG Prices'!L16</f>
        <v>104.58408712806742</v>
      </c>
      <c r="R42" s="9">
        <f>'E- &amp; NG Prices'!M16</f>
        <v>108.51779743063926</v>
      </c>
      <c r="S42" s="9">
        <f>'E- &amp; NG Prices'!N16</f>
        <v>77.57073809967918</v>
      </c>
      <c r="T42" s="68">
        <f>'Summary Sheet'!$C$17</f>
        <v>0</v>
      </c>
      <c r="U42" s="68">
        <f>'Summary Sheet'!$C$18</f>
        <v>0</v>
      </c>
      <c r="V42" s="68">
        <f>'Summary Sheet'!$C$19</f>
        <v>0</v>
      </c>
      <c r="W42" s="68">
        <f>'Summary Sheet'!$C$20</f>
        <v>0</v>
      </c>
      <c r="X42" s="10" t="e">
        <f>'Summary Sheet'!$C$11-'Summary Sheet'!$C$12</f>
        <v>#DIV/0!</v>
      </c>
      <c r="Y42" s="69" t="e">
        <f>((P42*T42*X42)+(Q42*U42*X42)+(R42*V42*X42)+(S42*W42*X42))*'Summary Sheet'!$C$6</f>
        <v>#DIV/0!</v>
      </c>
      <c r="AA42">
        <v>2020</v>
      </c>
      <c r="AB42" s="9">
        <f>'E- &amp; NG Prices'!R16</f>
        <v>87.00028815475157</v>
      </c>
      <c r="AC42" s="9">
        <f>'E- &amp; NG Prices'!S16</f>
        <v>119.21765393457325</v>
      </c>
      <c r="AD42" s="9">
        <f>'E- &amp; NG Prices'!T16</f>
        <v>104.58408712806742</v>
      </c>
      <c r="AE42" s="9">
        <f>'E- &amp; NG Prices'!U16</f>
        <v>108.51779743063926</v>
      </c>
      <c r="AF42" s="9">
        <f>'E- &amp; NG Prices'!V16</f>
        <v>77.57073809967918</v>
      </c>
      <c r="AG42" s="68">
        <f>'Summary Sheet'!$D$17</f>
        <v>0</v>
      </c>
      <c r="AH42" s="68">
        <f>'Summary Sheet'!$D$18</f>
        <v>0</v>
      </c>
      <c r="AI42" s="68">
        <f>'Summary Sheet'!$D$19</f>
        <v>0</v>
      </c>
      <c r="AJ42" s="68">
        <f>'Summary Sheet'!$D$20</f>
        <v>0</v>
      </c>
      <c r="AK42" s="10" t="e">
        <f>'Summary Sheet'!$D$11-'Summary Sheet'!$D$12</f>
        <v>#DIV/0!</v>
      </c>
      <c r="AL42" s="69" t="e">
        <f>((AC42*AG42*AK42)+(AD42*AH42*AK42)+(AE42*AI42*AK42)+(AF42*AJ42*AK42))*'Summary Sheet'!$D$6</f>
        <v>#DIV/0!</v>
      </c>
      <c r="AN42">
        <v>2020</v>
      </c>
      <c r="AO42" s="9">
        <f>'E- &amp; NG Prices'!AA16</f>
        <v>87.00028815475157</v>
      </c>
      <c r="AP42" s="9">
        <f>'E- &amp; NG Prices'!AB16</f>
        <v>119.21765393457325</v>
      </c>
      <c r="AQ42" s="9">
        <f>'E- &amp; NG Prices'!AC16</f>
        <v>104.58408712806742</v>
      </c>
      <c r="AR42" s="9">
        <f>'E- &amp; NG Prices'!AD16</f>
        <v>108.51779743063926</v>
      </c>
      <c r="AS42" s="9">
        <f>'E- &amp; NG Prices'!AE16</f>
        <v>77.57073809967918</v>
      </c>
      <c r="AT42" s="68">
        <f>'Summary Sheet'!$E$17</f>
        <v>0</v>
      </c>
      <c r="AU42" s="68">
        <f>'Summary Sheet'!$E$18</f>
        <v>0</v>
      </c>
      <c r="AV42" s="68">
        <f>'Summary Sheet'!$E$19</f>
        <v>0</v>
      </c>
      <c r="AW42" s="68">
        <f>'Summary Sheet'!$E$20</f>
        <v>0</v>
      </c>
      <c r="AX42" s="10" t="e">
        <f>'Summary Sheet'!$E$11-'Summary Sheet'!$E$12</f>
        <v>#DIV/0!</v>
      </c>
      <c r="AY42" s="69" t="e">
        <f>((AP42*AT42*AX42)+(AQ42*AU42*AX42)+(AR42*AV42*AX42)+(AS42*AW42*AX42))*'Summary Sheet'!$E$6</f>
        <v>#DIV/0!</v>
      </c>
      <c r="BA42">
        <v>2020</v>
      </c>
      <c r="BB42" s="9">
        <f>'E- &amp; NG Prices'!B16</f>
        <v>87.00028815475157</v>
      </c>
      <c r="BC42" s="9">
        <f>'E- &amp; NG Prices'!C16</f>
        <v>119.21765393457325</v>
      </c>
      <c r="BD42" s="9">
        <f>'E- &amp; NG Prices'!D16</f>
        <v>104.58408712806742</v>
      </c>
      <c r="BE42" s="9">
        <f>'E- &amp; NG Prices'!E16</f>
        <v>108.51779743063926</v>
      </c>
      <c r="BF42" s="9">
        <f>'E- &amp; NG Prices'!F16</f>
        <v>77.57073809967918</v>
      </c>
      <c r="BG42" s="68">
        <f>'Summary Sheet'!$F$17</f>
        <v>0</v>
      </c>
      <c r="BH42" s="68">
        <f>'Summary Sheet'!$F$18</f>
        <v>0</v>
      </c>
      <c r="BI42" s="68">
        <f>'Summary Sheet'!$F$19</f>
        <v>0</v>
      </c>
      <c r="BJ42" s="68">
        <f>'Summary Sheet'!$F$20</f>
        <v>0</v>
      </c>
      <c r="BK42" s="10" t="e">
        <f>'Summary Sheet'!$F$11-'Summary Sheet'!$F$12</f>
        <v>#DIV/0!</v>
      </c>
      <c r="BL42" s="69" t="e">
        <f>((BC42*BG42*BK42)+(BD42*BH42*BK42)+(BE42*BI42*BK42)+(BF42*BJ42*BK42))*'Summary Sheet'!$F$6</f>
        <v>#DIV/0!</v>
      </c>
      <c r="BN42">
        <v>2020</v>
      </c>
      <c r="BO42" s="9">
        <f>'E- &amp; NG Prices'!B16</f>
        <v>87.00028815475157</v>
      </c>
      <c r="BP42" s="9">
        <f>'E- &amp; NG Prices'!C16</f>
        <v>119.21765393457325</v>
      </c>
      <c r="BQ42" s="9">
        <f>'E- &amp; NG Prices'!D16</f>
        <v>104.58408712806742</v>
      </c>
      <c r="BR42" s="9">
        <f>'E- &amp; NG Prices'!E16</f>
        <v>108.51779743063926</v>
      </c>
      <c r="BS42" s="9">
        <f>'E- &amp; NG Prices'!F16</f>
        <v>77.57073809967918</v>
      </c>
      <c r="BT42" s="68">
        <f>'Summary Sheet'!$G$17</f>
        <v>0</v>
      </c>
      <c r="BU42" s="68">
        <f>'Summary Sheet'!$G$18</f>
        <v>0</v>
      </c>
      <c r="BV42" s="68">
        <f>'Summary Sheet'!$G$19</f>
        <v>0</v>
      </c>
      <c r="BW42" s="68">
        <f>'Summary Sheet'!$G$20</f>
        <v>0</v>
      </c>
      <c r="BX42" s="10" t="e">
        <f>'Summary Sheet'!$G$11-'Summary Sheet'!$G$12</f>
        <v>#DIV/0!</v>
      </c>
      <c r="BY42" s="69" t="e">
        <f>((BP42*BT42*BX42)+(BQ42*BU42*BX42)+(BR42*BV42*BX42)+(BS42*BW42*BX42))*'Summary Sheet'!$G$6</f>
        <v>#DIV/0!</v>
      </c>
    </row>
    <row r="43" spans="1:77" ht="12.75">
      <c r="A43">
        <v>2021</v>
      </c>
      <c r="B43" s="68">
        <f>'E- &amp; NG Prices'!B17</f>
        <v>90.33238125102444</v>
      </c>
      <c r="C43" s="68">
        <f>'E- &amp; NG Prices'!C17</f>
        <v>123.78366549677223</v>
      </c>
      <c r="D43" s="68">
        <f>'E- &amp; NG Prices'!D17</f>
        <v>108.58963609911872</v>
      </c>
      <c r="E43" s="68">
        <f>'E- &amp; NG Prices'!E17</f>
        <v>112.67400669512111</v>
      </c>
      <c r="F43" s="68">
        <f>'E- &amp; NG Prices'!F17</f>
        <v>80.54168137328043</v>
      </c>
      <c r="G43" s="68">
        <f>'Summary Sheet'!$B$17</f>
        <v>0</v>
      </c>
      <c r="H43" s="68">
        <f>'Summary Sheet'!$B$18</f>
        <v>0</v>
      </c>
      <c r="I43" s="68">
        <f>'Summary Sheet'!$B$19</f>
        <v>0</v>
      </c>
      <c r="J43" s="68">
        <f>'Summary Sheet'!$B$20</f>
        <v>0</v>
      </c>
      <c r="K43" s="10" t="e">
        <f>'Summary Sheet'!$B$11-'Summary Sheet'!$B$12</f>
        <v>#DIV/0!</v>
      </c>
      <c r="L43" s="69" t="e">
        <f>((C43*G43*K43)+(D43*H43*K43)+(E43*I43*K43)+(F43*J43*K43))*'Summary Sheet'!$B$6</f>
        <v>#DIV/0!</v>
      </c>
      <c r="N43">
        <v>2021</v>
      </c>
      <c r="O43" s="9">
        <f>'E- &amp; NG Prices'!J17</f>
        <v>90.33238125102444</v>
      </c>
      <c r="P43" s="9">
        <f>'E- &amp; NG Prices'!K17</f>
        <v>123.78366549677223</v>
      </c>
      <c r="Q43" s="9">
        <f>'E- &amp; NG Prices'!L17</f>
        <v>108.58963609911872</v>
      </c>
      <c r="R43" s="9">
        <f>'E- &amp; NG Prices'!M17</f>
        <v>112.67400669512111</v>
      </c>
      <c r="S43" s="9">
        <f>'E- &amp; NG Prices'!N17</f>
        <v>80.54168137328043</v>
      </c>
      <c r="T43" s="68">
        <f>'Summary Sheet'!$C$17</f>
        <v>0</v>
      </c>
      <c r="U43" s="68">
        <f>'Summary Sheet'!$C$18</f>
        <v>0</v>
      </c>
      <c r="V43" s="68">
        <f>'Summary Sheet'!$C$19</f>
        <v>0</v>
      </c>
      <c r="W43" s="68">
        <f>'Summary Sheet'!$C$20</f>
        <v>0</v>
      </c>
      <c r="X43" s="10" t="e">
        <f>'Summary Sheet'!$C$11-'Summary Sheet'!$C$12</f>
        <v>#DIV/0!</v>
      </c>
      <c r="Y43" s="69" t="e">
        <f>((P43*T43*X43)+(Q43*U43*X43)+(R43*V43*X43)+(S43*W43*X43))*'Summary Sheet'!$C$6</f>
        <v>#DIV/0!</v>
      </c>
      <c r="AA43">
        <v>2021</v>
      </c>
      <c r="AB43" s="9">
        <f>'E- &amp; NG Prices'!R17</f>
        <v>90.33238125102444</v>
      </c>
      <c r="AC43" s="9">
        <f>'E- &amp; NG Prices'!S17</f>
        <v>123.78366549677223</v>
      </c>
      <c r="AD43" s="9">
        <f>'E- &amp; NG Prices'!T17</f>
        <v>108.58963609911872</v>
      </c>
      <c r="AE43" s="9">
        <f>'E- &amp; NG Prices'!U17</f>
        <v>112.67400669512111</v>
      </c>
      <c r="AF43" s="9">
        <f>'E- &amp; NG Prices'!V17</f>
        <v>80.54168137328043</v>
      </c>
      <c r="AG43" s="68">
        <f>'Summary Sheet'!$D$17</f>
        <v>0</v>
      </c>
      <c r="AH43" s="68">
        <f>'Summary Sheet'!$D$18</f>
        <v>0</v>
      </c>
      <c r="AI43" s="68">
        <f>'Summary Sheet'!$D$19</f>
        <v>0</v>
      </c>
      <c r="AJ43" s="68">
        <f>'Summary Sheet'!$D$20</f>
        <v>0</v>
      </c>
      <c r="AK43" s="10" t="e">
        <f>'Summary Sheet'!$D$11-'Summary Sheet'!$D$12</f>
        <v>#DIV/0!</v>
      </c>
      <c r="AL43" s="69" t="e">
        <f>((AC43*AG43*AK43)+(AD43*AH43*AK43)+(AE43*AI43*AK43)+(AF43*AJ43*AK43))*'Summary Sheet'!$D$6</f>
        <v>#DIV/0!</v>
      </c>
      <c r="AN43">
        <v>2021</v>
      </c>
      <c r="AO43" s="9">
        <f>'E- &amp; NG Prices'!AA17</f>
        <v>90.33238125102444</v>
      </c>
      <c r="AP43" s="9">
        <f>'E- &amp; NG Prices'!AB17</f>
        <v>123.78366549677223</v>
      </c>
      <c r="AQ43" s="9">
        <f>'E- &amp; NG Prices'!AC17</f>
        <v>108.58963609911872</v>
      </c>
      <c r="AR43" s="9">
        <f>'E- &amp; NG Prices'!AD17</f>
        <v>112.67400669512111</v>
      </c>
      <c r="AS43" s="9">
        <f>'E- &amp; NG Prices'!AE17</f>
        <v>80.54168137328043</v>
      </c>
      <c r="AT43" s="68">
        <f>'Summary Sheet'!$E$17</f>
        <v>0</v>
      </c>
      <c r="AU43" s="68">
        <f>'Summary Sheet'!$E$18</f>
        <v>0</v>
      </c>
      <c r="AV43" s="68">
        <f>'Summary Sheet'!$E$19</f>
        <v>0</v>
      </c>
      <c r="AW43" s="68">
        <f>'Summary Sheet'!$E$20</f>
        <v>0</v>
      </c>
      <c r="AX43" s="10" t="e">
        <f>'Summary Sheet'!$E$11-'Summary Sheet'!$E$12</f>
        <v>#DIV/0!</v>
      </c>
      <c r="AY43" s="69" t="e">
        <f>((AP43*AT43*AX43)+(AQ43*AU43*AX43)+(AR43*AV43*AX43)+(AS43*AW43*AX43))*'Summary Sheet'!$E$6</f>
        <v>#DIV/0!</v>
      </c>
      <c r="BA43">
        <v>2021</v>
      </c>
      <c r="BB43" s="9">
        <f>'E- &amp; NG Prices'!B17</f>
        <v>90.33238125102444</v>
      </c>
      <c r="BC43" s="9">
        <f>'E- &amp; NG Prices'!C17</f>
        <v>123.78366549677223</v>
      </c>
      <c r="BD43" s="9">
        <f>'E- &amp; NG Prices'!D17</f>
        <v>108.58963609911872</v>
      </c>
      <c r="BE43" s="9">
        <f>'E- &amp; NG Prices'!E17</f>
        <v>112.67400669512111</v>
      </c>
      <c r="BF43" s="9">
        <f>'E- &amp; NG Prices'!F17</f>
        <v>80.54168137328043</v>
      </c>
      <c r="BG43" s="68">
        <f>'Summary Sheet'!$F$17</f>
        <v>0</v>
      </c>
      <c r="BH43" s="68">
        <f>'Summary Sheet'!$F$18</f>
        <v>0</v>
      </c>
      <c r="BI43" s="68">
        <f>'Summary Sheet'!$F$19</f>
        <v>0</v>
      </c>
      <c r="BJ43" s="68">
        <f>'Summary Sheet'!$F$20</f>
        <v>0</v>
      </c>
      <c r="BK43" s="10" t="e">
        <f>'Summary Sheet'!$F$11-'Summary Sheet'!$F$12</f>
        <v>#DIV/0!</v>
      </c>
      <c r="BL43" s="69" t="e">
        <f>((BC43*BG43*BK43)+(BD43*BH43*BK43)+(BE43*BI43*BK43)+(BF43*BJ43*BK43))*'Summary Sheet'!$F$6</f>
        <v>#DIV/0!</v>
      </c>
      <c r="BN43">
        <v>2021</v>
      </c>
      <c r="BO43" s="9">
        <f>'E- &amp; NG Prices'!B17</f>
        <v>90.33238125102444</v>
      </c>
      <c r="BP43" s="9">
        <f>'E- &amp; NG Prices'!C17</f>
        <v>123.78366549677223</v>
      </c>
      <c r="BQ43" s="9">
        <f>'E- &amp; NG Prices'!D17</f>
        <v>108.58963609911872</v>
      </c>
      <c r="BR43" s="9">
        <f>'E- &amp; NG Prices'!E17</f>
        <v>112.67400669512111</v>
      </c>
      <c r="BS43" s="9">
        <f>'E- &amp; NG Prices'!F17</f>
        <v>80.54168137328043</v>
      </c>
      <c r="BT43" s="68">
        <f>'Summary Sheet'!$G$17</f>
        <v>0</v>
      </c>
      <c r="BU43" s="68">
        <f>'Summary Sheet'!$G$18</f>
        <v>0</v>
      </c>
      <c r="BV43" s="68">
        <f>'Summary Sheet'!$G$19</f>
        <v>0</v>
      </c>
      <c r="BW43" s="68">
        <f>'Summary Sheet'!$G$20</f>
        <v>0</v>
      </c>
      <c r="BX43" s="10" t="e">
        <f>'Summary Sheet'!$G$11-'Summary Sheet'!$G$12</f>
        <v>#DIV/0!</v>
      </c>
      <c r="BY43" s="69" t="e">
        <f>((BP43*BT43*BX43)+(BQ43*BU43*BX43)+(BR43*BV43*BX43)+(BS43*BW43*BX43))*'Summary Sheet'!$G$6</f>
        <v>#DIV/0!</v>
      </c>
    </row>
    <row r="44" spans="1:77" ht="12.75">
      <c r="A44">
        <v>2022</v>
      </c>
      <c r="B44" s="68">
        <f>'E- &amp; NG Prices'!B18</f>
        <v>93.79370827093601</v>
      </c>
      <c r="C44" s="68">
        <f>'E- &amp; NG Prices'!C18</f>
        <v>128.52676802627423</v>
      </c>
      <c r="D44" s="68">
        <f>'E- &amp; NG Prices'!D18</f>
        <v>112.75053871573142</v>
      </c>
      <c r="E44" s="68">
        <f>'E- &amp; NG Prices'!E18</f>
        <v>116.99141290554462</v>
      </c>
      <c r="F44" s="68">
        <f>'E- &amp; NG Prices'!F18</f>
        <v>83.62785151631849</v>
      </c>
      <c r="G44" s="68">
        <f>'Summary Sheet'!$B$17</f>
        <v>0</v>
      </c>
      <c r="H44" s="68">
        <f>'Summary Sheet'!$B$18</f>
        <v>0</v>
      </c>
      <c r="I44" s="68">
        <f>'Summary Sheet'!$B$19</f>
        <v>0</v>
      </c>
      <c r="J44" s="68">
        <f>'Summary Sheet'!$B$20</f>
        <v>0</v>
      </c>
      <c r="K44" s="10" t="e">
        <f>'Summary Sheet'!$B$11-'Summary Sheet'!$B$12</f>
        <v>#DIV/0!</v>
      </c>
      <c r="L44" s="69" t="e">
        <f>((C44*G44*K44)+(D44*H44*K44)+(E44*I44*K44)+(F44*J44*K44))*'Summary Sheet'!$B$6</f>
        <v>#DIV/0!</v>
      </c>
      <c r="N44">
        <v>2022</v>
      </c>
      <c r="O44" s="9">
        <f>'E- &amp; NG Prices'!J18</f>
        <v>93.79370827093601</v>
      </c>
      <c r="P44" s="9">
        <f>'E- &amp; NG Prices'!K18</f>
        <v>128.52676802627423</v>
      </c>
      <c r="Q44" s="9">
        <f>'E- &amp; NG Prices'!L18</f>
        <v>112.75053871573142</v>
      </c>
      <c r="R44" s="9">
        <f>'E- &amp; NG Prices'!M18</f>
        <v>116.99141290554462</v>
      </c>
      <c r="S44" s="9">
        <f>'E- &amp; NG Prices'!N18</f>
        <v>83.62785151631849</v>
      </c>
      <c r="T44" s="68">
        <f>'Summary Sheet'!$C$17</f>
        <v>0</v>
      </c>
      <c r="U44" s="68">
        <f>'Summary Sheet'!$C$18</f>
        <v>0</v>
      </c>
      <c r="V44" s="68">
        <f>'Summary Sheet'!$C$19</f>
        <v>0</v>
      </c>
      <c r="W44" s="68">
        <f>'Summary Sheet'!$C$20</f>
        <v>0</v>
      </c>
      <c r="X44" s="10" t="e">
        <f>'Summary Sheet'!$C$11-'Summary Sheet'!$C$12</f>
        <v>#DIV/0!</v>
      </c>
      <c r="Y44" s="69" t="e">
        <f>((P44*T44*X44)+(Q44*U44*X44)+(R44*V44*X44)+(S44*W44*X44))*'Summary Sheet'!$C$6</f>
        <v>#DIV/0!</v>
      </c>
      <c r="AA44">
        <v>2022</v>
      </c>
      <c r="AB44" s="9">
        <f>'E- &amp; NG Prices'!R18</f>
        <v>93.79370827093601</v>
      </c>
      <c r="AC44" s="9">
        <f>'E- &amp; NG Prices'!S18</f>
        <v>128.52676802627423</v>
      </c>
      <c r="AD44" s="9">
        <f>'E- &amp; NG Prices'!T18</f>
        <v>112.75053871573142</v>
      </c>
      <c r="AE44" s="9">
        <f>'E- &amp; NG Prices'!U18</f>
        <v>116.99141290554462</v>
      </c>
      <c r="AF44" s="9">
        <f>'E- &amp; NG Prices'!V18</f>
        <v>83.62785151631849</v>
      </c>
      <c r="AG44" s="68">
        <f>'Summary Sheet'!$D$17</f>
        <v>0</v>
      </c>
      <c r="AH44" s="68">
        <f>'Summary Sheet'!$D$18</f>
        <v>0</v>
      </c>
      <c r="AI44" s="68">
        <f>'Summary Sheet'!$D$19</f>
        <v>0</v>
      </c>
      <c r="AJ44" s="68">
        <f>'Summary Sheet'!$D$20</f>
        <v>0</v>
      </c>
      <c r="AK44" s="10" t="e">
        <f>'Summary Sheet'!$D$11-'Summary Sheet'!$D$12</f>
        <v>#DIV/0!</v>
      </c>
      <c r="AL44" s="69" t="e">
        <f>((AC44*AG44*AK44)+(AD44*AH44*AK44)+(AE44*AI44*AK44)+(AF44*AJ44*AK44))*'Summary Sheet'!$D$6</f>
        <v>#DIV/0!</v>
      </c>
      <c r="AN44">
        <v>2022</v>
      </c>
      <c r="AO44" s="9">
        <f>'E- &amp; NG Prices'!AA18</f>
        <v>93.79370827093601</v>
      </c>
      <c r="AP44" s="9">
        <f>'E- &amp; NG Prices'!AB18</f>
        <v>128.52676802627423</v>
      </c>
      <c r="AQ44" s="9">
        <f>'E- &amp; NG Prices'!AC18</f>
        <v>112.75053871573142</v>
      </c>
      <c r="AR44" s="9">
        <f>'E- &amp; NG Prices'!AD18</f>
        <v>116.99141290554462</v>
      </c>
      <c r="AS44" s="9">
        <f>'E- &amp; NG Prices'!AE18</f>
        <v>83.62785151631849</v>
      </c>
      <c r="AT44" s="68">
        <f>'Summary Sheet'!$E$17</f>
        <v>0</v>
      </c>
      <c r="AU44" s="68">
        <f>'Summary Sheet'!$E$18</f>
        <v>0</v>
      </c>
      <c r="AV44" s="68">
        <f>'Summary Sheet'!$E$19</f>
        <v>0</v>
      </c>
      <c r="AW44" s="68">
        <f>'Summary Sheet'!$E$20</f>
        <v>0</v>
      </c>
      <c r="AX44" s="10" t="e">
        <f>'Summary Sheet'!$E$11-'Summary Sheet'!$E$12</f>
        <v>#DIV/0!</v>
      </c>
      <c r="AY44" s="69" t="e">
        <f>((AP44*AT44*AX44)+(AQ44*AU44*AX44)+(AR44*AV44*AX44)+(AS44*AW44*AX44))*'Summary Sheet'!$E$6</f>
        <v>#DIV/0!</v>
      </c>
      <c r="BA44">
        <v>2022</v>
      </c>
      <c r="BB44" s="9">
        <f>'E- &amp; NG Prices'!B18</f>
        <v>93.79370827093601</v>
      </c>
      <c r="BC44" s="9">
        <f>'E- &amp; NG Prices'!C18</f>
        <v>128.52676802627423</v>
      </c>
      <c r="BD44" s="9">
        <f>'E- &amp; NG Prices'!D18</f>
        <v>112.75053871573142</v>
      </c>
      <c r="BE44" s="9">
        <f>'E- &amp; NG Prices'!E18</f>
        <v>116.99141290554462</v>
      </c>
      <c r="BF44" s="9">
        <f>'E- &amp; NG Prices'!F18</f>
        <v>83.62785151631849</v>
      </c>
      <c r="BG44" s="68">
        <f>'Summary Sheet'!$F$17</f>
        <v>0</v>
      </c>
      <c r="BH44" s="68">
        <f>'Summary Sheet'!$F$18</f>
        <v>0</v>
      </c>
      <c r="BI44" s="68">
        <f>'Summary Sheet'!$F$19</f>
        <v>0</v>
      </c>
      <c r="BJ44" s="68">
        <f>'Summary Sheet'!$F$20</f>
        <v>0</v>
      </c>
      <c r="BK44" s="10" t="e">
        <f>'Summary Sheet'!$F$11-'Summary Sheet'!$F$12</f>
        <v>#DIV/0!</v>
      </c>
      <c r="BL44" s="69" t="e">
        <f>((BC44*BG44*BK44)+(BD44*BH44*BK44)+(BE44*BI44*BK44)+(BF44*BJ44*BK44))*'Summary Sheet'!$F$6</f>
        <v>#DIV/0!</v>
      </c>
      <c r="BN44">
        <v>2022</v>
      </c>
      <c r="BO44" s="9">
        <f>'E- &amp; NG Prices'!B18</f>
        <v>93.79370827093601</v>
      </c>
      <c r="BP44" s="9">
        <f>'E- &amp; NG Prices'!C18</f>
        <v>128.52676802627423</v>
      </c>
      <c r="BQ44" s="9">
        <f>'E- &amp; NG Prices'!D18</f>
        <v>112.75053871573142</v>
      </c>
      <c r="BR44" s="9">
        <f>'E- &amp; NG Prices'!E18</f>
        <v>116.99141290554462</v>
      </c>
      <c r="BS44" s="9">
        <f>'E- &amp; NG Prices'!F18</f>
        <v>83.62785151631849</v>
      </c>
      <c r="BT44" s="68">
        <f>'Summary Sheet'!$G$17</f>
        <v>0</v>
      </c>
      <c r="BU44" s="68">
        <f>'Summary Sheet'!$G$18</f>
        <v>0</v>
      </c>
      <c r="BV44" s="68">
        <f>'Summary Sheet'!$G$19</f>
        <v>0</v>
      </c>
      <c r="BW44" s="68">
        <f>'Summary Sheet'!$G$20</f>
        <v>0</v>
      </c>
      <c r="BX44" s="10" t="e">
        <f>'Summary Sheet'!$G$11-'Summary Sheet'!$G$12</f>
        <v>#DIV/0!</v>
      </c>
      <c r="BY44" s="69" t="e">
        <f>((BP44*BT44*BX44)+(BQ44*BU44*BX44)+(BR44*BV44*BX44)+(BS44*BW44*BX44))*'Summary Sheet'!$G$6</f>
        <v>#DIV/0!</v>
      </c>
    </row>
    <row r="45" spans="1:77" ht="12.75">
      <c r="A45">
        <v>2023</v>
      </c>
      <c r="B45" s="68">
        <f>'E- &amp; NG Prices'!B19</f>
        <v>97.38934060712533</v>
      </c>
      <c r="C45" s="68">
        <f>'E- &amp; NG Prices'!C19</f>
        <v>133.45391091997703</v>
      </c>
      <c r="D45" s="68">
        <f>'E- &amp; NG Prices'!D19</f>
        <v>117.07289135966326</v>
      </c>
      <c r="E45" s="68">
        <f>'E- &amp; NG Prices'!E19</f>
        <v>121.47634174623536</v>
      </c>
      <c r="F45" s="68">
        <f>'E- &amp; NG Prices'!F19</f>
        <v>86.83377025715252</v>
      </c>
      <c r="G45" s="68">
        <f>'Summary Sheet'!$B$17</f>
        <v>0</v>
      </c>
      <c r="H45" s="68">
        <f>'Summary Sheet'!$B$18</f>
        <v>0</v>
      </c>
      <c r="I45" s="68">
        <f>'Summary Sheet'!$B$19</f>
        <v>0</v>
      </c>
      <c r="J45" s="68">
        <f>'Summary Sheet'!$B$20</f>
        <v>0</v>
      </c>
      <c r="K45" s="10" t="e">
        <f>'Summary Sheet'!$B$11-'Summary Sheet'!$B$12</f>
        <v>#DIV/0!</v>
      </c>
      <c r="L45" s="69" t="e">
        <f>((C45*G45*K45)+(D45*H45*K45)+(E45*I45*K45)+(F45*J45*K45))*'Summary Sheet'!$B$6</f>
        <v>#DIV/0!</v>
      </c>
      <c r="N45">
        <v>2023</v>
      </c>
      <c r="O45" s="9">
        <f>'E- &amp; NG Prices'!J19</f>
        <v>97.38934060712533</v>
      </c>
      <c r="P45" s="9">
        <f>'E- &amp; NG Prices'!K19</f>
        <v>133.45391091997703</v>
      </c>
      <c r="Q45" s="9">
        <f>'E- &amp; NG Prices'!L19</f>
        <v>117.07289135966326</v>
      </c>
      <c r="R45" s="9">
        <f>'E- &amp; NG Prices'!M19</f>
        <v>121.47634174623536</v>
      </c>
      <c r="S45" s="9">
        <f>'E- &amp; NG Prices'!N19</f>
        <v>86.83377025715252</v>
      </c>
      <c r="T45" s="68">
        <f>'Summary Sheet'!$C$17</f>
        <v>0</v>
      </c>
      <c r="U45" s="68">
        <f>'Summary Sheet'!$C$18</f>
        <v>0</v>
      </c>
      <c r="V45" s="68">
        <f>'Summary Sheet'!$C$19</f>
        <v>0</v>
      </c>
      <c r="W45" s="68">
        <f>'Summary Sheet'!$C$20</f>
        <v>0</v>
      </c>
      <c r="X45" s="10" t="e">
        <f>'Summary Sheet'!$C$11-'Summary Sheet'!$C$12</f>
        <v>#DIV/0!</v>
      </c>
      <c r="Y45" s="69" t="e">
        <f>((P45*T45*X45)+(Q45*U45*X45)+(R45*V45*X45)+(S45*W45*X45))*'Summary Sheet'!$C$6</f>
        <v>#DIV/0!</v>
      </c>
      <c r="AA45">
        <v>2023</v>
      </c>
      <c r="AB45" s="9">
        <f>'E- &amp; NG Prices'!R19</f>
        <v>97.38934060712533</v>
      </c>
      <c r="AC45" s="9">
        <f>'E- &amp; NG Prices'!S19</f>
        <v>133.45391091997703</v>
      </c>
      <c r="AD45" s="9">
        <f>'E- &amp; NG Prices'!T19</f>
        <v>117.07289135966326</v>
      </c>
      <c r="AE45" s="9">
        <f>'E- &amp; NG Prices'!U19</f>
        <v>121.47634174623536</v>
      </c>
      <c r="AF45" s="9">
        <f>'E- &amp; NG Prices'!V19</f>
        <v>86.83377025715252</v>
      </c>
      <c r="AG45" s="68">
        <f>'Summary Sheet'!$D$17</f>
        <v>0</v>
      </c>
      <c r="AH45" s="68">
        <f>'Summary Sheet'!$D$18</f>
        <v>0</v>
      </c>
      <c r="AI45" s="68">
        <f>'Summary Sheet'!$D$19</f>
        <v>0</v>
      </c>
      <c r="AJ45" s="68">
        <f>'Summary Sheet'!$D$20</f>
        <v>0</v>
      </c>
      <c r="AK45" s="10" t="e">
        <f>'Summary Sheet'!$D$11-'Summary Sheet'!$D$12</f>
        <v>#DIV/0!</v>
      </c>
      <c r="AL45" s="69" t="e">
        <f>((AC45*AG45*AK45)+(AD45*AH45*AK45)+(AE45*AI45*AK45)+(AF45*AJ45*AK45))*'Summary Sheet'!$D$6</f>
        <v>#DIV/0!</v>
      </c>
      <c r="AN45">
        <v>2023</v>
      </c>
      <c r="AO45" s="9">
        <f>'E- &amp; NG Prices'!AA19</f>
        <v>97.38934060712533</v>
      </c>
      <c r="AP45" s="9">
        <f>'E- &amp; NG Prices'!AB19</f>
        <v>133.45391091997703</v>
      </c>
      <c r="AQ45" s="9">
        <f>'E- &amp; NG Prices'!AC19</f>
        <v>117.07289135966326</v>
      </c>
      <c r="AR45" s="9">
        <f>'E- &amp; NG Prices'!AD19</f>
        <v>121.47634174623536</v>
      </c>
      <c r="AS45" s="9">
        <f>'E- &amp; NG Prices'!AE19</f>
        <v>86.83377025715252</v>
      </c>
      <c r="AT45" s="68">
        <f>'Summary Sheet'!$E$17</f>
        <v>0</v>
      </c>
      <c r="AU45" s="68">
        <f>'Summary Sheet'!$E$18</f>
        <v>0</v>
      </c>
      <c r="AV45" s="68">
        <f>'Summary Sheet'!$E$19</f>
        <v>0</v>
      </c>
      <c r="AW45" s="68">
        <f>'Summary Sheet'!$E$20</f>
        <v>0</v>
      </c>
      <c r="AX45" s="10" t="e">
        <f>'Summary Sheet'!$E$11-'Summary Sheet'!$E$12</f>
        <v>#DIV/0!</v>
      </c>
      <c r="AY45" s="69" t="e">
        <f>((AP45*AT45*AX45)+(AQ45*AU45*AX45)+(AR45*AV45*AX45)+(AS45*AW45*AX45))*'Summary Sheet'!$E$6</f>
        <v>#DIV/0!</v>
      </c>
      <c r="BA45">
        <v>2023</v>
      </c>
      <c r="BB45" s="9">
        <f>'E- &amp; NG Prices'!B19</f>
        <v>97.38934060712533</v>
      </c>
      <c r="BC45" s="9">
        <f>'E- &amp; NG Prices'!C19</f>
        <v>133.45391091997703</v>
      </c>
      <c r="BD45" s="9">
        <f>'E- &amp; NG Prices'!D19</f>
        <v>117.07289135966326</v>
      </c>
      <c r="BE45" s="9">
        <f>'E- &amp; NG Prices'!E19</f>
        <v>121.47634174623536</v>
      </c>
      <c r="BF45" s="9">
        <f>'E- &amp; NG Prices'!F19</f>
        <v>86.83377025715252</v>
      </c>
      <c r="BG45" s="68">
        <f>'Summary Sheet'!$F$17</f>
        <v>0</v>
      </c>
      <c r="BH45" s="68">
        <f>'Summary Sheet'!$F$18</f>
        <v>0</v>
      </c>
      <c r="BI45" s="68">
        <f>'Summary Sheet'!$F$19</f>
        <v>0</v>
      </c>
      <c r="BJ45" s="68">
        <f>'Summary Sheet'!$F$20</f>
        <v>0</v>
      </c>
      <c r="BK45" s="10" t="e">
        <f>'Summary Sheet'!$F$11-'Summary Sheet'!$F$12</f>
        <v>#DIV/0!</v>
      </c>
      <c r="BL45" s="69" t="e">
        <f>((BC45*BG45*BK45)+(BD45*BH45*BK45)+(BE45*BI45*BK45)+(BF45*BJ45*BK45))*'Summary Sheet'!$F$6</f>
        <v>#DIV/0!</v>
      </c>
      <c r="BN45">
        <v>2023</v>
      </c>
      <c r="BO45" s="9">
        <f>'E- &amp; NG Prices'!B19</f>
        <v>97.38934060712533</v>
      </c>
      <c r="BP45" s="9">
        <f>'E- &amp; NG Prices'!C19</f>
        <v>133.45391091997703</v>
      </c>
      <c r="BQ45" s="9">
        <f>'E- &amp; NG Prices'!D19</f>
        <v>117.07289135966326</v>
      </c>
      <c r="BR45" s="9">
        <f>'E- &amp; NG Prices'!E19</f>
        <v>121.47634174623536</v>
      </c>
      <c r="BS45" s="9">
        <f>'E- &amp; NG Prices'!F19</f>
        <v>86.83377025715252</v>
      </c>
      <c r="BT45" s="68">
        <f>'Summary Sheet'!$G$17</f>
        <v>0</v>
      </c>
      <c r="BU45" s="68">
        <f>'Summary Sheet'!$G$18</f>
        <v>0</v>
      </c>
      <c r="BV45" s="68">
        <f>'Summary Sheet'!$G$19</f>
        <v>0</v>
      </c>
      <c r="BW45" s="68">
        <f>'Summary Sheet'!$G$20</f>
        <v>0</v>
      </c>
      <c r="BX45" s="10" t="e">
        <f>'Summary Sheet'!$G$11-'Summary Sheet'!$G$12</f>
        <v>#DIV/0!</v>
      </c>
      <c r="BY45" s="69" t="e">
        <f>((BP45*BT45*BX45)+(BQ45*BU45*BX45)+(BR45*BV45*BX45)+(BS45*BW45*BX45))*'Summary Sheet'!$G$6</f>
        <v>#DIV/0!</v>
      </c>
    </row>
    <row r="46" spans="1:77" ht="12.75">
      <c r="A46">
        <v>2024</v>
      </c>
      <c r="B46" s="68">
        <f>'E- &amp; NG Prices'!B20</f>
        <v>101.12455079445051</v>
      </c>
      <c r="C46" s="68">
        <f>'E- &amp; NG Prices'!C20</f>
        <v>138.57231920264093</v>
      </c>
      <c r="D46" s="68">
        <f>'E- &amp; NG Prices'!D20</f>
        <v>121.5630322081396</v>
      </c>
      <c r="E46" s="68">
        <f>'E- &amp; NG Prices'!E20</f>
        <v>126.13536979161405</v>
      </c>
      <c r="F46" s="68">
        <f>'E- &amp; NG Prices'!F20</f>
        <v>90.16413866550626</v>
      </c>
      <c r="G46" s="68">
        <f>'Summary Sheet'!$B$17</f>
        <v>0</v>
      </c>
      <c r="H46" s="68">
        <f>'Summary Sheet'!$B$18</f>
        <v>0</v>
      </c>
      <c r="I46" s="68">
        <f>'Summary Sheet'!$B$19</f>
        <v>0</v>
      </c>
      <c r="J46" s="68">
        <f>'Summary Sheet'!$B$20</f>
        <v>0</v>
      </c>
      <c r="K46" s="10" t="e">
        <f>'Summary Sheet'!$B$11-'Summary Sheet'!$B$12</f>
        <v>#DIV/0!</v>
      </c>
      <c r="L46" s="69" t="e">
        <f>((C46*G46*K46)+(D46*H46*K46)+(E46*I46*K46)+(F46*J46*K46))*'Summary Sheet'!$B$6</f>
        <v>#DIV/0!</v>
      </c>
      <c r="N46">
        <v>2024</v>
      </c>
      <c r="O46" s="9">
        <f>'E- &amp; NG Prices'!J20</f>
        <v>101.12455079445051</v>
      </c>
      <c r="P46" s="9">
        <f>'E- &amp; NG Prices'!K20</f>
        <v>138.57231920264093</v>
      </c>
      <c r="Q46" s="9">
        <f>'E- &amp; NG Prices'!L20</f>
        <v>121.5630322081396</v>
      </c>
      <c r="R46" s="9">
        <f>'E- &amp; NG Prices'!M20</f>
        <v>126.13536979161405</v>
      </c>
      <c r="S46" s="9">
        <f>'E- &amp; NG Prices'!N20</f>
        <v>90.16413866550626</v>
      </c>
      <c r="T46" s="68">
        <f>'Summary Sheet'!$C$17</f>
        <v>0</v>
      </c>
      <c r="U46" s="68">
        <f>'Summary Sheet'!$C$18</f>
        <v>0</v>
      </c>
      <c r="V46" s="68">
        <f>'Summary Sheet'!$C$19</f>
        <v>0</v>
      </c>
      <c r="W46" s="68">
        <f>'Summary Sheet'!$C$20</f>
        <v>0</v>
      </c>
      <c r="X46" s="10" t="e">
        <f>'Summary Sheet'!$C$11-'Summary Sheet'!$C$12</f>
        <v>#DIV/0!</v>
      </c>
      <c r="Y46" s="69" t="e">
        <f>((P46*T46*X46)+(Q46*U46*X46)+(R46*V46*X46)+(S46*W46*X46))*'Summary Sheet'!$C$6</f>
        <v>#DIV/0!</v>
      </c>
      <c r="AA46">
        <v>2024</v>
      </c>
      <c r="AB46" s="9">
        <f>'E- &amp; NG Prices'!R20</f>
        <v>101.12455079445051</v>
      </c>
      <c r="AC46" s="9">
        <f>'E- &amp; NG Prices'!S20</f>
        <v>138.57231920264093</v>
      </c>
      <c r="AD46" s="9">
        <f>'E- &amp; NG Prices'!T20</f>
        <v>121.5630322081396</v>
      </c>
      <c r="AE46" s="9">
        <f>'E- &amp; NG Prices'!U20</f>
        <v>126.13536979161405</v>
      </c>
      <c r="AF46" s="9">
        <f>'E- &amp; NG Prices'!V20</f>
        <v>90.16413866550626</v>
      </c>
      <c r="AG46" s="68">
        <f>'Summary Sheet'!$D$17</f>
        <v>0</v>
      </c>
      <c r="AH46" s="68">
        <f>'Summary Sheet'!$D$18</f>
        <v>0</v>
      </c>
      <c r="AI46" s="68">
        <f>'Summary Sheet'!$D$19</f>
        <v>0</v>
      </c>
      <c r="AJ46" s="68">
        <f>'Summary Sheet'!$D$20</f>
        <v>0</v>
      </c>
      <c r="AK46" s="10" t="e">
        <f>'Summary Sheet'!$D$11-'Summary Sheet'!$D$12</f>
        <v>#DIV/0!</v>
      </c>
      <c r="AL46" s="69" t="e">
        <f>((AC46*AG46*AK46)+(AD46*AH46*AK46)+(AE46*AI46*AK46)+(AF46*AJ46*AK46))*'Summary Sheet'!$D$6</f>
        <v>#DIV/0!</v>
      </c>
      <c r="AN46">
        <v>2024</v>
      </c>
      <c r="AO46" s="9">
        <f>'E- &amp; NG Prices'!AA20</f>
        <v>101.12455079445051</v>
      </c>
      <c r="AP46" s="9">
        <f>'E- &amp; NG Prices'!AB20</f>
        <v>138.57231920264093</v>
      </c>
      <c r="AQ46" s="9">
        <f>'E- &amp; NG Prices'!AC20</f>
        <v>121.5630322081396</v>
      </c>
      <c r="AR46" s="9">
        <f>'E- &amp; NG Prices'!AD20</f>
        <v>126.13536979161405</v>
      </c>
      <c r="AS46" s="9">
        <f>'E- &amp; NG Prices'!AE20</f>
        <v>90.16413866550626</v>
      </c>
      <c r="AT46" s="68">
        <f>'Summary Sheet'!$E$17</f>
        <v>0</v>
      </c>
      <c r="AU46" s="68">
        <f>'Summary Sheet'!$E$18</f>
        <v>0</v>
      </c>
      <c r="AV46" s="68">
        <f>'Summary Sheet'!$E$19</f>
        <v>0</v>
      </c>
      <c r="AW46" s="68">
        <f>'Summary Sheet'!$E$20</f>
        <v>0</v>
      </c>
      <c r="AX46" s="10" t="e">
        <f>'Summary Sheet'!$E$11-'Summary Sheet'!$E$12</f>
        <v>#DIV/0!</v>
      </c>
      <c r="AY46" s="69" t="e">
        <f>((AP46*AT46*AX46)+(AQ46*AU46*AX46)+(AR46*AV46*AX46)+(AS46*AW46*AX46))*'Summary Sheet'!$E$6</f>
        <v>#DIV/0!</v>
      </c>
      <c r="BA46">
        <v>2024</v>
      </c>
      <c r="BB46" s="9">
        <f>'E- &amp; NG Prices'!B20</f>
        <v>101.12455079445051</v>
      </c>
      <c r="BC46" s="9">
        <f>'E- &amp; NG Prices'!C20</f>
        <v>138.57231920264093</v>
      </c>
      <c r="BD46" s="9">
        <f>'E- &amp; NG Prices'!D20</f>
        <v>121.5630322081396</v>
      </c>
      <c r="BE46" s="9">
        <f>'E- &amp; NG Prices'!E20</f>
        <v>126.13536979161405</v>
      </c>
      <c r="BF46" s="9">
        <f>'E- &amp; NG Prices'!F20</f>
        <v>90.16413866550626</v>
      </c>
      <c r="BG46" s="68">
        <f>'Summary Sheet'!$F$17</f>
        <v>0</v>
      </c>
      <c r="BH46" s="68">
        <f>'Summary Sheet'!$F$18</f>
        <v>0</v>
      </c>
      <c r="BI46" s="68">
        <f>'Summary Sheet'!$F$19</f>
        <v>0</v>
      </c>
      <c r="BJ46" s="68">
        <f>'Summary Sheet'!$F$20</f>
        <v>0</v>
      </c>
      <c r="BK46" s="10" t="e">
        <f>'Summary Sheet'!$F$11-'Summary Sheet'!$F$12</f>
        <v>#DIV/0!</v>
      </c>
      <c r="BL46" s="69" t="e">
        <f>((BC46*BG46*BK46)+(BD46*BH46*BK46)+(BE46*BI46*BK46)+(BF46*BJ46*BK46))*'Summary Sheet'!$F$6</f>
        <v>#DIV/0!</v>
      </c>
      <c r="BN46">
        <v>2024</v>
      </c>
      <c r="BO46" s="9">
        <f>'E- &amp; NG Prices'!B20</f>
        <v>101.12455079445051</v>
      </c>
      <c r="BP46" s="9">
        <f>'E- &amp; NG Prices'!C20</f>
        <v>138.57231920264093</v>
      </c>
      <c r="BQ46" s="9">
        <f>'E- &amp; NG Prices'!D20</f>
        <v>121.5630322081396</v>
      </c>
      <c r="BR46" s="9">
        <f>'E- &amp; NG Prices'!E20</f>
        <v>126.13536979161405</v>
      </c>
      <c r="BS46" s="9">
        <f>'E- &amp; NG Prices'!F20</f>
        <v>90.16413866550626</v>
      </c>
      <c r="BT46" s="68">
        <f>'Summary Sheet'!$G$17</f>
        <v>0</v>
      </c>
      <c r="BU46" s="68">
        <f>'Summary Sheet'!$G$18</f>
        <v>0</v>
      </c>
      <c r="BV46" s="68">
        <f>'Summary Sheet'!$G$19</f>
        <v>0</v>
      </c>
      <c r="BW46" s="68">
        <f>'Summary Sheet'!$G$20</f>
        <v>0</v>
      </c>
      <c r="BX46" s="10" t="e">
        <f>'Summary Sheet'!$G$11-'Summary Sheet'!$G$12</f>
        <v>#DIV/0!</v>
      </c>
      <c r="BY46" s="69" t="e">
        <f>((BP46*BT46*BX46)+(BQ46*BU46*BX46)+(BR46*BV46*BX46)+(BS46*BW46*BX46))*'Summary Sheet'!$G$6</f>
        <v>#DIV/0!</v>
      </c>
    </row>
    <row r="47" spans="1:77" ht="12.75">
      <c r="A47">
        <v>2025</v>
      </c>
      <c r="B47" s="68">
        <f>'E- &amp; NG Prices'!B21</f>
        <v>105.0048205634728</v>
      </c>
      <c r="C47" s="68">
        <f>'E- &amp; NG Prices'!C21</f>
        <v>143.8895045626853</v>
      </c>
      <c r="D47" s="68">
        <f>'E- &amp; NG Prices'!D21</f>
        <v>126.2275509150431</v>
      </c>
      <c r="E47" s="68">
        <f>'E- &amp; NG Prices'!E21</f>
        <v>130.97533455152384</v>
      </c>
      <c r="F47" s="68">
        <f>'E- &amp; NG Prices'!F21</f>
        <v>93.62384433307297</v>
      </c>
      <c r="G47" s="68">
        <f>'Summary Sheet'!$B$17</f>
        <v>0</v>
      </c>
      <c r="H47" s="68">
        <f>'Summary Sheet'!$B$18</f>
        <v>0</v>
      </c>
      <c r="I47" s="68">
        <f>'Summary Sheet'!$B$19</f>
        <v>0</v>
      </c>
      <c r="J47" s="68">
        <f>'Summary Sheet'!$B$20</f>
        <v>0</v>
      </c>
      <c r="K47" s="10" t="e">
        <f>'Summary Sheet'!$B$11-'Summary Sheet'!$B$12</f>
        <v>#DIV/0!</v>
      </c>
      <c r="L47" s="69" t="e">
        <f>((C47*G47*K47)+(D47*H47*K47)+(E47*I47*K47)+(F47*J47*K47))*'Summary Sheet'!$B$6</f>
        <v>#DIV/0!</v>
      </c>
      <c r="N47">
        <v>2025</v>
      </c>
      <c r="O47" s="9">
        <f>'E- &amp; NG Prices'!J21</f>
        <v>105.0048205634728</v>
      </c>
      <c r="P47" s="9">
        <f>'E- &amp; NG Prices'!K21</f>
        <v>143.8895045626853</v>
      </c>
      <c r="Q47" s="9">
        <f>'E- &amp; NG Prices'!L21</f>
        <v>126.2275509150431</v>
      </c>
      <c r="R47" s="9">
        <f>'E- &amp; NG Prices'!M21</f>
        <v>130.97533455152384</v>
      </c>
      <c r="S47" s="9">
        <f>'E- &amp; NG Prices'!N21</f>
        <v>93.62384433307297</v>
      </c>
      <c r="T47" s="68">
        <f>'Summary Sheet'!$C$17</f>
        <v>0</v>
      </c>
      <c r="U47" s="68">
        <f>'Summary Sheet'!$C$18</f>
        <v>0</v>
      </c>
      <c r="V47" s="68">
        <f>'Summary Sheet'!$C$19</f>
        <v>0</v>
      </c>
      <c r="W47" s="68">
        <f>'Summary Sheet'!$C$20</f>
        <v>0</v>
      </c>
      <c r="X47" s="10" t="e">
        <f>'Summary Sheet'!$C$11-'Summary Sheet'!$C$12</f>
        <v>#DIV/0!</v>
      </c>
      <c r="Y47" s="69" t="e">
        <f>((P47*T47*X47)+(Q47*U47*X47)+(R47*V47*X47)+(S47*W47*X47))*'Summary Sheet'!$C$6</f>
        <v>#DIV/0!</v>
      </c>
      <c r="AA47">
        <v>2025</v>
      </c>
      <c r="AB47" s="9">
        <f>'E- &amp; NG Prices'!R21</f>
        <v>105.0048205634728</v>
      </c>
      <c r="AC47" s="9">
        <f>'E- &amp; NG Prices'!S21</f>
        <v>143.8895045626853</v>
      </c>
      <c r="AD47" s="9">
        <f>'E- &amp; NG Prices'!T21</f>
        <v>126.2275509150431</v>
      </c>
      <c r="AE47" s="9">
        <f>'E- &amp; NG Prices'!U21</f>
        <v>130.97533455152384</v>
      </c>
      <c r="AF47" s="9">
        <f>'E- &amp; NG Prices'!V21</f>
        <v>93.62384433307297</v>
      </c>
      <c r="AG47" s="68">
        <f>'Summary Sheet'!$D$17</f>
        <v>0</v>
      </c>
      <c r="AH47" s="68">
        <f>'Summary Sheet'!$D$18</f>
        <v>0</v>
      </c>
      <c r="AI47" s="68">
        <f>'Summary Sheet'!$D$19</f>
        <v>0</v>
      </c>
      <c r="AJ47" s="68">
        <f>'Summary Sheet'!$D$20</f>
        <v>0</v>
      </c>
      <c r="AK47" s="10" t="e">
        <f>'Summary Sheet'!$D$11-'Summary Sheet'!$D$12</f>
        <v>#DIV/0!</v>
      </c>
      <c r="AL47" s="69" t="e">
        <f>((AC47*AG47*AK47)+(AD47*AH47*AK47)+(AE47*AI47*AK47)+(AF47*AJ47*AK47))*'Summary Sheet'!$D$6</f>
        <v>#DIV/0!</v>
      </c>
      <c r="AN47">
        <v>2025</v>
      </c>
      <c r="AO47" s="9">
        <f>'E- &amp; NG Prices'!AA21</f>
        <v>105.0048205634728</v>
      </c>
      <c r="AP47" s="9">
        <f>'E- &amp; NG Prices'!AB21</f>
        <v>143.8895045626853</v>
      </c>
      <c r="AQ47" s="9">
        <f>'E- &amp; NG Prices'!AC21</f>
        <v>126.2275509150431</v>
      </c>
      <c r="AR47" s="9">
        <f>'E- &amp; NG Prices'!AD21</f>
        <v>130.97533455152384</v>
      </c>
      <c r="AS47" s="9">
        <f>'E- &amp; NG Prices'!AE21</f>
        <v>93.62384433307297</v>
      </c>
      <c r="AT47" s="68">
        <f>'Summary Sheet'!$E$17</f>
        <v>0</v>
      </c>
      <c r="AU47" s="68">
        <f>'Summary Sheet'!$E$18</f>
        <v>0</v>
      </c>
      <c r="AV47" s="68">
        <f>'Summary Sheet'!$E$19</f>
        <v>0</v>
      </c>
      <c r="AW47" s="68">
        <f>'Summary Sheet'!$E$20</f>
        <v>0</v>
      </c>
      <c r="AX47" s="10" t="e">
        <f>'Summary Sheet'!$E$11-'Summary Sheet'!$E$12</f>
        <v>#DIV/0!</v>
      </c>
      <c r="AY47" s="69" t="e">
        <f>((AP47*AT47*AX47)+(AQ47*AU47*AX47)+(AR47*AV47*AX47)+(AS47*AW47*AX47))*'Summary Sheet'!$E$6</f>
        <v>#DIV/0!</v>
      </c>
      <c r="BA47">
        <v>2025</v>
      </c>
      <c r="BB47" s="9">
        <f>'E- &amp; NG Prices'!B21</f>
        <v>105.0048205634728</v>
      </c>
      <c r="BC47" s="9">
        <f>'E- &amp; NG Prices'!C21</f>
        <v>143.8895045626853</v>
      </c>
      <c r="BD47" s="9">
        <f>'E- &amp; NG Prices'!D21</f>
        <v>126.2275509150431</v>
      </c>
      <c r="BE47" s="9">
        <f>'E- &amp; NG Prices'!E21</f>
        <v>130.97533455152384</v>
      </c>
      <c r="BF47" s="9">
        <f>'E- &amp; NG Prices'!F21</f>
        <v>93.62384433307297</v>
      </c>
      <c r="BG47" s="68">
        <f>'Summary Sheet'!$F$17</f>
        <v>0</v>
      </c>
      <c r="BH47" s="68">
        <f>'Summary Sheet'!$F$18</f>
        <v>0</v>
      </c>
      <c r="BI47" s="68">
        <f>'Summary Sheet'!$F$19</f>
        <v>0</v>
      </c>
      <c r="BJ47" s="68">
        <f>'Summary Sheet'!$F$20</f>
        <v>0</v>
      </c>
      <c r="BK47" s="10" t="e">
        <f>'Summary Sheet'!$F$11-'Summary Sheet'!$F$12</f>
        <v>#DIV/0!</v>
      </c>
      <c r="BL47" s="69" t="e">
        <f>((BC47*BG47*BK47)+(BD47*BH47*BK47)+(BE47*BI47*BK47)+(BF47*BJ47*BK47))*'Summary Sheet'!$F$6</f>
        <v>#DIV/0!</v>
      </c>
      <c r="BN47">
        <v>2025</v>
      </c>
      <c r="BO47" s="9">
        <f>'E- &amp; NG Prices'!B21</f>
        <v>105.0048205634728</v>
      </c>
      <c r="BP47" s="9">
        <f>'E- &amp; NG Prices'!C21</f>
        <v>143.8895045626853</v>
      </c>
      <c r="BQ47" s="9">
        <f>'E- &amp; NG Prices'!D21</f>
        <v>126.2275509150431</v>
      </c>
      <c r="BR47" s="9">
        <f>'E- &amp; NG Prices'!E21</f>
        <v>130.97533455152384</v>
      </c>
      <c r="BS47" s="9">
        <f>'E- &amp; NG Prices'!F21</f>
        <v>93.62384433307297</v>
      </c>
      <c r="BT47" s="68">
        <f>'Summary Sheet'!$G$17</f>
        <v>0</v>
      </c>
      <c r="BU47" s="68">
        <f>'Summary Sheet'!$G$18</f>
        <v>0</v>
      </c>
      <c r="BV47" s="68">
        <f>'Summary Sheet'!$G$19</f>
        <v>0</v>
      </c>
      <c r="BW47" s="68">
        <f>'Summary Sheet'!$G$20</f>
        <v>0</v>
      </c>
      <c r="BX47" s="10" t="e">
        <f>'Summary Sheet'!$G$11-'Summary Sheet'!$G$12</f>
        <v>#DIV/0!</v>
      </c>
      <c r="BY47" s="69" t="e">
        <f>((BP47*BT47*BX47)+(BQ47*BU47*BX47)+(BR47*BV47*BX47)+(BS47*BW47*BX47))*'Summary Sheet'!$G$6</f>
        <v>#DIV/0!</v>
      </c>
    </row>
    <row r="48" spans="1:77" ht="12.75">
      <c r="A48">
        <v>2026</v>
      </c>
      <c r="B48" s="68">
        <f>'E- &amp; NG Prices'!B22</f>
        <v>109.03584921905106</v>
      </c>
      <c r="C48" s="68">
        <f>'E- &amp; NG Prices'!C22</f>
        <v>149.41327683348817</v>
      </c>
      <c r="D48" s="68">
        <f>'E- &amp; NG Prices'!D22</f>
        <v>131.07329868292226</v>
      </c>
      <c r="E48" s="68">
        <f>'E- &amp; NG Prices'!E22</f>
        <v>136.00334492207625</v>
      </c>
      <c r="F48" s="68">
        <f>'E- &amp; NG Prices'!F22</f>
        <v>97.21796884399369</v>
      </c>
      <c r="G48" s="68">
        <f>'Summary Sheet'!$B$17</f>
        <v>0</v>
      </c>
      <c r="H48" s="68">
        <f>'Summary Sheet'!$B$18</f>
        <v>0</v>
      </c>
      <c r="I48" s="68">
        <f>'Summary Sheet'!$B$19</f>
        <v>0</v>
      </c>
      <c r="J48" s="68">
        <f>'Summary Sheet'!$B$20</f>
        <v>0</v>
      </c>
      <c r="K48" s="10" t="e">
        <f>'Summary Sheet'!$B$11-'Summary Sheet'!$B$12</f>
        <v>#DIV/0!</v>
      </c>
      <c r="L48" s="69" t="e">
        <f>((C48*G48*K48)+(D48*H48*K48)+(E48*I48*K48)+(F48*J48*K48))*'Summary Sheet'!$B$6</f>
        <v>#DIV/0!</v>
      </c>
      <c r="N48">
        <v>2026</v>
      </c>
      <c r="O48" s="9">
        <f>'E- &amp; NG Prices'!J22</f>
        <v>109.03584921905106</v>
      </c>
      <c r="P48" s="9">
        <f>'E- &amp; NG Prices'!K22</f>
        <v>149.41327683348817</v>
      </c>
      <c r="Q48" s="9">
        <f>'E- &amp; NG Prices'!L22</f>
        <v>131.07329868292226</v>
      </c>
      <c r="R48" s="9">
        <f>'E- &amp; NG Prices'!M22</f>
        <v>136.00334492207625</v>
      </c>
      <c r="S48" s="9">
        <f>'E- &amp; NG Prices'!N22</f>
        <v>97.21796884399369</v>
      </c>
      <c r="T48" s="68">
        <f>'Summary Sheet'!$C$17</f>
        <v>0</v>
      </c>
      <c r="U48" s="68">
        <f>'Summary Sheet'!$C$18</f>
        <v>0</v>
      </c>
      <c r="V48" s="68">
        <f>'Summary Sheet'!$C$19</f>
        <v>0</v>
      </c>
      <c r="W48" s="68">
        <f>'Summary Sheet'!$C$20</f>
        <v>0</v>
      </c>
      <c r="X48" s="10" t="e">
        <f>'Summary Sheet'!$C$11-'Summary Sheet'!$C$12</f>
        <v>#DIV/0!</v>
      </c>
      <c r="Y48" s="69" t="e">
        <f>((P48*T48*X48)+(Q48*U48*X48)+(R48*V48*X48)+(S48*W48*X48))*'Summary Sheet'!$C$6</f>
        <v>#DIV/0!</v>
      </c>
      <c r="AA48">
        <v>2026</v>
      </c>
      <c r="AB48" s="9">
        <f>'E- &amp; NG Prices'!R22</f>
        <v>109.03584921905106</v>
      </c>
      <c r="AC48" s="9">
        <f>'E- &amp; NG Prices'!S22</f>
        <v>149.41327683348817</v>
      </c>
      <c r="AD48" s="9">
        <f>'E- &amp; NG Prices'!T22</f>
        <v>131.07329868292226</v>
      </c>
      <c r="AE48" s="9">
        <f>'E- &amp; NG Prices'!U22</f>
        <v>136.00334492207625</v>
      </c>
      <c r="AF48" s="9">
        <f>'E- &amp; NG Prices'!V22</f>
        <v>97.21796884399369</v>
      </c>
      <c r="AG48" s="68">
        <f>'Summary Sheet'!$D$17</f>
        <v>0</v>
      </c>
      <c r="AH48" s="68">
        <f>'Summary Sheet'!$D$18</f>
        <v>0</v>
      </c>
      <c r="AI48" s="68">
        <f>'Summary Sheet'!$D$19</f>
        <v>0</v>
      </c>
      <c r="AJ48" s="68">
        <f>'Summary Sheet'!$D$20</f>
        <v>0</v>
      </c>
      <c r="AK48" s="10" t="e">
        <f>'Summary Sheet'!$D$11-'Summary Sheet'!$D$12</f>
        <v>#DIV/0!</v>
      </c>
      <c r="AL48" s="69" t="e">
        <f>((AC48*AG48*AK48)+(AD48*AH48*AK48)+(AE48*AI48*AK48)+(AF48*AJ48*AK48))*'Summary Sheet'!$D$6</f>
        <v>#DIV/0!</v>
      </c>
      <c r="AN48">
        <v>2026</v>
      </c>
      <c r="AO48" s="9">
        <f>'E- &amp; NG Prices'!AA22</f>
        <v>109.03584921905106</v>
      </c>
      <c r="AP48" s="9">
        <f>'E- &amp; NG Prices'!AB22</f>
        <v>149.41327683348817</v>
      </c>
      <c r="AQ48" s="9">
        <f>'E- &amp; NG Prices'!AC22</f>
        <v>131.07329868292226</v>
      </c>
      <c r="AR48" s="9">
        <f>'E- &amp; NG Prices'!AD22</f>
        <v>136.00334492207625</v>
      </c>
      <c r="AS48" s="9">
        <f>'E- &amp; NG Prices'!AE22</f>
        <v>97.21796884399369</v>
      </c>
      <c r="AT48" s="68">
        <f>'Summary Sheet'!$E$17</f>
        <v>0</v>
      </c>
      <c r="AU48" s="68">
        <f>'Summary Sheet'!$E$18</f>
        <v>0</v>
      </c>
      <c r="AV48" s="68">
        <f>'Summary Sheet'!$E$19</f>
        <v>0</v>
      </c>
      <c r="AW48" s="68">
        <f>'Summary Sheet'!$E$20</f>
        <v>0</v>
      </c>
      <c r="AX48" s="10" t="e">
        <f>'Summary Sheet'!$E$11-'Summary Sheet'!$E$12</f>
        <v>#DIV/0!</v>
      </c>
      <c r="AY48" s="69" t="e">
        <f>((AP48*AT48*AX48)+(AQ48*AU48*AX48)+(AR48*AV48*AX48)+(AS48*AW48*AX48))*'Summary Sheet'!$E$6</f>
        <v>#DIV/0!</v>
      </c>
      <c r="BA48">
        <v>2026</v>
      </c>
      <c r="BB48" s="9">
        <f>'E- &amp; NG Prices'!B22</f>
        <v>109.03584921905106</v>
      </c>
      <c r="BC48" s="9">
        <f>'E- &amp; NG Prices'!C22</f>
        <v>149.41327683348817</v>
      </c>
      <c r="BD48" s="9">
        <f>'E- &amp; NG Prices'!D22</f>
        <v>131.07329868292226</v>
      </c>
      <c r="BE48" s="9">
        <f>'E- &amp; NG Prices'!E22</f>
        <v>136.00334492207625</v>
      </c>
      <c r="BF48" s="9">
        <f>'E- &amp; NG Prices'!F22</f>
        <v>97.21796884399369</v>
      </c>
      <c r="BG48" s="68">
        <f>'Summary Sheet'!$F$17</f>
        <v>0</v>
      </c>
      <c r="BH48" s="68">
        <f>'Summary Sheet'!$F$18</f>
        <v>0</v>
      </c>
      <c r="BI48" s="68">
        <f>'Summary Sheet'!$F$19</f>
        <v>0</v>
      </c>
      <c r="BJ48" s="68">
        <f>'Summary Sheet'!$F$20</f>
        <v>0</v>
      </c>
      <c r="BK48" s="10" t="e">
        <f>'Summary Sheet'!$F$11-'Summary Sheet'!$F$12</f>
        <v>#DIV/0!</v>
      </c>
      <c r="BL48" s="69" t="e">
        <f>((BC48*BG48*BK48)+(BD48*BH48*BK48)+(BE48*BI48*BK48)+(BF48*BJ48*BK48))*'Summary Sheet'!$F$6</f>
        <v>#DIV/0!</v>
      </c>
      <c r="BN48">
        <v>2026</v>
      </c>
      <c r="BO48" s="9">
        <f>'E- &amp; NG Prices'!B22</f>
        <v>109.03584921905106</v>
      </c>
      <c r="BP48" s="9">
        <f>'E- &amp; NG Prices'!C22</f>
        <v>149.41327683348817</v>
      </c>
      <c r="BQ48" s="9">
        <f>'E- &amp; NG Prices'!D22</f>
        <v>131.07329868292226</v>
      </c>
      <c r="BR48" s="9">
        <f>'E- &amp; NG Prices'!E22</f>
        <v>136.00334492207625</v>
      </c>
      <c r="BS48" s="9">
        <f>'E- &amp; NG Prices'!F22</f>
        <v>97.21796884399369</v>
      </c>
      <c r="BT48" s="68">
        <f>'Summary Sheet'!$G$17</f>
        <v>0</v>
      </c>
      <c r="BU48" s="68">
        <f>'Summary Sheet'!$G$18</f>
        <v>0</v>
      </c>
      <c r="BV48" s="68">
        <f>'Summary Sheet'!$G$19</f>
        <v>0</v>
      </c>
      <c r="BW48" s="68">
        <f>'Summary Sheet'!$G$20</f>
        <v>0</v>
      </c>
      <c r="BX48" s="10" t="e">
        <f>'Summary Sheet'!$G$11-'Summary Sheet'!$G$12</f>
        <v>#DIV/0!</v>
      </c>
      <c r="BY48" s="69" t="e">
        <f>((BP48*BT48*BX48)+(BQ48*BU48*BX48)+(BR48*BV48*BX48)+(BS48*BW48*BX48))*'Summary Sheet'!$G$6</f>
        <v>#DIV/0!</v>
      </c>
    </row>
    <row r="49" spans="1:77" ht="12.75">
      <c r="A49">
        <v>2027</v>
      </c>
      <c r="B49" s="68">
        <f>'E- &amp; NG Prices'!B23</f>
        <v>113.22356235726326</v>
      </c>
      <c r="C49" s="68">
        <f>'E- &amp; NG Prices'!C23</f>
        <v>155.15175593829997</v>
      </c>
      <c r="D49" s="68">
        <f>'E- &amp; NG Prices'!D23</f>
        <v>136.10739874170716</v>
      </c>
      <c r="E49" s="68">
        <f>'E- &amp; NG Prices'!E23</f>
        <v>141.22679205850184</v>
      </c>
      <c r="F49" s="68">
        <f>'E- &amp; NG Prices'!F23</f>
        <v>100.95179554699298</v>
      </c>
      <c r="G49" s="68">
        <f>'Summary Sheet'!$B$17</f>
        <v>0</v>
      </c>
      <c r="H49" s="68">
        <f>'Summary Sheet'!$B$18</f>
        <v>0</v>
      </c>
      <c r="I49" s="68">
        <f>'Summary Sheet'!$B$19</f>
        <v>0</v>
      </c>
      <c r="J49" s="68">
        <f>'Summary Sheet'!$B$20</f>
        <v>0</v>
      </c>
      <c r="K49" s="10" t="e">
        <f>'Summary Sheet'!$B$11-'Summary Sheet'!$B$12</f>
        <v>#DIV/0!</v>
      </c>
      <c r="L49" s="69" t="e">
        <f>((C49*G49*K49)+(D49*H49*K49)+(E49*I49*K49)+(F49*J49*K49))*'Summary Sheet'!$B$6</f>
        <v>#DIV/0!</v>
      </c>
      <c r="N49">
        <v>2027</v>
      </c>
      <c r="O49" s="9">
        <f>'E- &amp; NG Prices'!J23</f>
        <v>113.22356235726326</v>
      </c>
      <c r="P49" s="9">
        <f>'E- &amp; NG Prices'!K23</f>
        <v>155.15175593829997</v>
      </c>
      <c r="Q49" s="9">
        <f>'E- &amp; NG Prices'!L23</f>
        <v>136.10739874170716</v>
      </c>
      <c r="R49" s="9">
        <f>'E- &amp; NG Prices'!M23</f>
        <v>141.22679205850184</v>
      </c>
      <c r="S49" s="9">
        <f>'E- &amp; NG Prices'!N23</f>
        <v>100.95179554699298</v>
      </c>
      <c r="T49" s="68">
        <f>'Summary Sheet'!$C$17</f>
        <v>0</v>
      </c>
      <c r="U49" s="68">
        <f>'Summary Sheet'!$C$18</f>
        <v>0</v>
      </c>
      <c r="V49" s="68">
        <f>'Summary Sheet'!$C$19</f>
        <v>0</v>
      </c>
      <c r="W49" s="68">
        <f>'Summary Sheet'!$C$20</f>
        <v>0</v>
      </c>
      <c r="X49" s="10" t="e">
        <f>'Summary Sheet'!$C$11-'Summary Sheet'!$C$12</f>
        <v>#DIV/0!</v>
      </c>
      <c r="Y49" s="69" t="e">
        <f>((P49*T49*X49)+(Q49*U49*X49)+(R49*V49*X49)+(S49*W49*X49))*'Summary Sheet'!$C$6</f>
        <v>#DIV/0!</v>
      </c>
      <c r="AA49">
        <v>2027</v>
      </c>
      <c r="AB49" s="9">
        <f>'E- &amp; NG Prices'!R23</f>
        <v>113.22356235726326</v>
      </c>
      <c r="AC49" s="9">
        <f>'E- &amp; NG Prices'!S23</f>
        <v>155.15175593829997</v>
      </c>
      <c r="AD49" s="9">
        <f>'E- &amp; NG Prices'!T23</f>
        <v>136.10739874170716</v>
      </c>
      <c r="AE49" s="9">
        <f>'E- &amp; NG Prices'!U23</f>
        <v>141.22679205850184</v>
      </c>
      <c r="AF49" s="9">
        <f>'E- &amp; NG Prices'!V23</f>
        <v>100.95179554699298</v>
      </c>
      <c r="AG49" s="68">
        <f>'Summary Sheet'!$D$17</f>
        <v>0</v>
      </c>
      <c r="AH49" s="68">
        <f>'Summary Sheet'!$D$18</f>
        <v>0</v>
      </c>
      <c r="AI49" s="68">
        <f>'Summary Sheet'!$D$19</f>
        <v>0</v>
      </c>
      <c r="AJ49" s="68">
        <f>'Summary Sheet'!$D$20</f>
        <v>0</v>
      </c>
      <c r="AK49" s="10" t="e">
        <f>'Summary Sheet'!$D$11-'Summary Sheet'!$D$12</f>
        <v>#DIV/0!</v>
      </c>
      <c r="AL49" s="69" t="e">
        <f>((AC49*AG49*AK49)+(AD49*AH49*AK49)+(AE49*AI49*AK49)+(AF49*AJ49*AK49))*'Summary Sheet'!$D$6</f>
        <v>#DIV/0!</v>
      </c>
      <c r="AN49">
        <v>2027</v>
      </c>
      <c r="AO49" s="9">
        <f>'E- &amp; NG Prices'!AA23</f>
        <v>113.22356235726326</v>
      </c>
      <c r="AP49" s="9">
        <f>'E- &amp; NG Prices'!AB23</f>
        <v>155.15175593829997</v>
      </c>
      <c r="AQ49" s="9">
        <f>'E- &amp; NG Prices'!AC23</f>
        <v>136.10739874170716</v>
      </c>
      <c r="AR49" s="9">
        <f>'E- &amp; NG Prices'!AD23</f>
        <v>141.22679205850184</v>
      </c>
      <c r="AS49" s="9">
        <f>'E- &amp; NG Prices'!AE23</f>
        <v>100.95179554699298</v>
      </c>
      <c r="AT49" s="68">
        <f>'Summary Sheet'!$E$17</f>
        <v>0</v>
      </c>
      <c r="AU49" s="68">
        <f>'Summary Sheet'!$E$18</f>
        <v>0</v>
      </c>
      <c r="AV49" s="68">
        <f>'Summary Sheet'!$E$19</f>
        <v>0</v>
      </c>
      <c r="AW49" s="68">
        <f>'Summary Sheet'!$E$20</f>
        <v>0</v>
      </c>
      <c r="AX49" s="10" t="e">
        <f>'Summary Sheet'!$E$11-'Summary Sheet'!$E$12</f>
        <v>#DIV/0!</v>
      </c>
      <c r="AY49" s="69" t="e">
        <f>((AP49*AT49*AX49)+(AQ49*AU49*AX49)+(AR49*AV49*AX49)+(AS49*AW49*AX49))*'Summary Sheet'!$E$6</f>
        <v>#DIV/0!</v>
      </c>
      <c r="BA49">
        <v>2027</v>
      </c>
      <c r="BB49" s="9">
        <f>'E- &amp; NG Prices'!B23</f>
        <v>113.22356235726326</v>
      </c>
      <c r="BC49" s="9">
        <f>'E- &amp; NG Prices'!C23</f>
        <v>155.15175593829997</v>
      </c>
      <c r="BD49" s="9">
        <f>'E- &amp; NG Prices'!D23</f>
        <v>136.10739874170716</v>
      </c>
      <c r="BE49" s="9">
        <f>'E- &amp; NG Prices'!E23</f>
        <v>141.22679205850184</v>
      </c>
      <c r="BF49" s="9">
        <f>'E- &amp; NG Prices'!F23</f>
        <v>100.95179554699298</v>
      </c>
      <c r="BG49" s="68">
        <f>'Summary Sheet'!$F$17</f>
        <v>0</v>
      </c>
      <c r="BH49" s="68">
        <f>'Summary Sheet'!$F$18</f>
        <v>0</v>
      </c>
      <c r="BI49" s="68">
        <f>'Summary Sheet'!$F$19</f>
        <v>0</v>
      </c>
      <c r="BJ49" s="68">
        <f>'Summary Sheet'!$F$20</f>
        <v>0</v>
      </c>
      <c r="BK49" s="10" t="e">
        <f>'Summary Sheet'!$F$11-'Summary Sheet'!$F$12</f>
        <v>#DIV/0!</v>
      </c>
      <c r="BL49" s="69" t="e">
        <f>((BC49*BG49*BK49)+(BD49*BH49*BK49)+(BE49*BI49*BK49)+(BF49*BJ49*BK49))*'Summary Sheet'!$F$6</f>
        <v>#DIV/0!</v>
      </c>
      <c r="BN49">
        <v>2027</v>
      </c>
      <c r="BO49" s="9">
        <f>'E- &amp; NG Prices'!B23</f>
        <v>113.22356235726326</v>
      </c>
      <c r="BP49" s="9">
        <f>'E- &amp; NG Prices'!C23</f>
        <v>155.15175593829997</v>
      </c>
      <c r="BQ49" s="9">
        <f>'E- &amp; NG Prices'!D23</f>
        <v>136.10739874170716</v>
      </c>
      <c r="BR49" s="9">
        <f>'E- &amp; NG Prices'!E23</f>
        <v>141.22679205850184</v>
      </c>
      <c r="BS49" s="9">
        <f>'E- &amp; NG Prices'!F23</f>
        <v>100.95179554699298</v>
      </c>
      <c r="BT49" s="68">
        <f>'Summary Sheet'!$G$17</f>
        <v>0</v>
      </c>
      <c r="BU49" s="68">
        <f>'Summary Sheet'!$G$18</f>
        <v>0</v>
      </c>
      <c r="BV49" s="68">
        <f>'Summary Sheet'!$G$19</f>
        <v>0</v>
      </c>
      <c r="BW49" s="68">
        <f>'Summary Sheet'!$G$20</f>
        <v>0</v>
      </c>
      <c r="BX49" s="10" t="e">
        <f>'Summary Sheet'!$G$11-'Summary Sheet'!$G$12</f>
        <v>#DIV/0!</v>
      </c>
      <c r="BY49" s="69" t="e">
        <f>((BP49*BT49*BX49)+(BQ49*BU49*BX49)+(BR49*BV49*BX49)+(BS49*BW49*BX49))*'Summary Sheet'!$G$6</f>
        <v>#DIV/0!</v>
      </c>
    </row>
    <row r="50" spans="1:77" ht="12.75">
      <c r="A50">
        <v>2028</v>
      </c>
      <c r="B50" s="68">
        <f>'E- &amp; NG Prices'!B24</f>
        <v>117.57412093441248</v>
      </c>
      <c r="C50" s="68">
        <f>'E- &amp; NG Prices'!C24</f>
        <v>161.11338431762317</v>
      </c>
      <c r="D50" s="68">
        <f>'E- &amp; NG Prices'!D24</f>
        <v>141.33725725066984</v>
      </c>
      <c r="E50" s="68">
        <f>'E- &amp; NG Prices'!E24</f>
        <v>146.65336068716474</v>
      </c>
      <c r="F50" s="68">
        <f>'E- &amp; NG Prices'!F24</f>
        <v>104.83081764143786</v>
      </c>
      <c r="G50" s="68">
        <f>'Summary Sheet'!$B$17</f>
        <v>0</v>
      </c>
      <c r="H50" s="68">
        <f>'Summary Sheet'!$B$18</f>
        <v>0</v>
      </c>
      <c r="I50" s="68">
        <f>'Summary Sheet'!$B$19</f>
        <v>0</v>
      </c>
      <c r="J50" s="68">
        <f>'Summary Sheet'!$B$20</f>
        <v>0</v>
      </c>
      <c r="K50" s="10" t="e">
        <f>'Summary Sheet'!$B$11-'Summary Sheet'!$B$12</f>
        <v>#DIV/0!</v>
      </c>
      <c r="L50" s="69" t="e">
        <f>((C50*G50*K50)+(D50*H50*K50)+(E50*I50*K50)+(F50*J50*K50))*'Summary Sheet'!$B$6</f>
        <v>#DIV/0!</v>
      </c>
      <c r="N50">
        <v>2028</v>
      </c>
      <c r="O50" s="9">
        <f>'E- &amp; NG Prices'!J24</f>
        <v>117.57412093441248</v>
      </c>
      <c r="P50" s="9">
        <f>'E- &amp; NG Prices'!K24</f>
        <v>161.11338431762317</v>
      </c>
      <c r="Q50" s="9">
        <f>'E- &amp; NG Prices'!L24</f>
        <v>141.33725725066984</v>
      </c>
      <c r="R50" s="9">
        <f>'E- &amp; NG Prices'!M24</f>
        <v>146.65336068716474</v>
      </c>
      <c r="S50" s="9">
        <f>'E- &amp; NG Prices'!N24</f>
        <v>104.83081764143786</v>
      </c>
      <c r="T50" s="68">
        <f>'Summary Sheet'!$C$17</f>
        <v>0</v>
      </c>
      <c r="U50" s="68">
        <f>'Summary Sheet'!$C$18</f>
        <v>0</v>
      </c>
      <c r="V50" s="68">
        <f>'Summary Sheet'!$C$19</f>
        <v>0</v>
      </c>
      <c r="W50" s="68">
        <f>'Summary Sheet'!$C$20</f>
        <v>0</v>
      </c>
      <c r="X50" s="10" t="e">
        <f>'Summary Sheet'!$C$11-'Summary Sheet'!$C$12</f>
        <v>#DIV/0!</v>
      </c>
      <c r="Y50" s="69" t="e">
        <f>((P50*T50*X50)+(Q50*U50*X50)+(R50*V50*X50)+(S50*W50*X50))*'Summary Sheet'!$C$6</f>
        <v>#DIV/0!</v>
      </c>
      <c r="AA50">
        <v>2028</v>
      </c>
      <c r="AB50" s="9">
        <f>'E- &amp; NG Prices'!R24</f>
        <v>117.57412093441248</v>
      </c>
      <c r="AC50" s="9">
        <f>'E- &amp; NG Prices'!S24</f>
        <v>161.11338431762317</v>
      </c>
      <c r="AD50" s="9">
        <f>'E- &amp; NG Prices'!T24</f>
        <v>141.33725725066984</v>
      </c>
      <c r="AE50" s="9">
        <f>'E- &amp; NG Prices'!U24</f>
        <v>146.65336068716474</v>
      </c>
      <c r="AF50" s="9">
        <f>'E- &amp; NG Prices'!V24</f>
        <v>104.83081764143786</v>
      </c>
      <c r="AG50" s="68">
        <f>'Summary Sheet'!$D$17</f>
        <v>0</v>
      </c>
      <c r="AH50" s="68">
        <f>'Summary Sheet'!$D$18</f>
        <v>0</v>
      </c>
      <c r="AI50" s="68">
        <f>'Summary Sheet'!$D$19</f>
        <v>0</v>
      </c>
      <c r="AJ50" s="68">
        <f>'Summary Sheet'!$D$20</f>
        <v>0</v>
      </c>
      <c r="AK50" s="10" t="e">
        <f>'Summary Sheet'!$D$11-'Summary Sheet'!$D$12</f>
        <v>#DIV/0!</v>
      </c>
      <c r="AL50" s="69" t="e">
        <f>((AC50*AG50*AK50)+(AD50*AH50*AK50)+(AE50*AI50*AK50)+(AF50*AJ50*AK50))*'Summary Sheet'!$D$6</f>
        <v>#DIV/0!</v>
      </c>
      <c r="AN50">
        <v>2028</v>
      </c>
      <c r="AO50" s="9">
        <f>'E- &amp; NG Prices'!AA24</f>
        <v>117.57412093441248</v>
      </c>
      <c r="AP50" s="9">
        <f>'E- &amp; NG Prices'!AB24</f>
        <v>161.11338431762317</v>
      </c>
      <c r="AQ50" s="9">
        <f>'E- &amp; NG Prices'!AC24</f>
        <v>141.33725725066984</v>
      </c>
      <c r="AR50" s="9">
        <f>'E- &amp; NG Prices'!AD24</f>
        <v>146.65336068716474</v>
      </c>
      <c r="AS50" s="9">
        <f>'E- &amp; NG Prices'!AE24</f>
        <v>104.83081764143786</v>
      </c>
      <c r="AT50" s="68">
        <f>'Summary Sheet'!$E$17</f>
        <v>0</v>
      </c>
      <c r="AU50" s="68">
        <f>'Summary Sheet'!$E$18</f>
        <v>0</v>
      </c>
      <c r="AV50" s="68">
        <f>'Summary Sheet'!$E$19</f>
        <v>0</v>
      </c>
      <c r="AW50" s="68">
        <f>'Summary Sheet'!$E$20</f>
        <v>0</v>
      </c>
      <c r="AX50" s="10" t="e">
        <f>'Summary Sheet'!$E$11-'Summary Sheet'!$E$12</f>
        <v>#DIV/0!</v>
      </c>
      <c r="AY50" s="69" t="e">
        <f>((AP50*AT50*AX50)+(AQ50*AU50*AX50)+(AR50*AV50*AX50)+(AS50*AW50*AX50))*'Summary Sheet'!$E$6</f>
        <v>#DIV/0!</v>
      </c>
      <c r="BA50">
        <v>2028</v>
      </c>
      <c r="BB50" s="9">
        <f>'E- &amp; NG Prices'!B24</f>
        <v>117.57412093441248</v>
      </c>
      <c r="BC50" s="9">
        <f>'E- &amp; NG Prices'!C24</f>
        <v>161.11338431762317</v>
      </c>
      <c r="BD50" s="9">
        <f>'E- &amp; NG Prices'!D24</f>
        <v>141.33725725066984</v>
      </c>
      <c r="BE50" s="9">
        <f>'E- &amp; NG Prices'!E24</f>
        <v>146.65336068716474</v>
      </c>
      <c r="BF50" s="9">
        <f>'E- &amp; NG Prices'!F24</f>
        <v>104.83081764143786</v>
      </c>
      <c r="BG50" s="68">
        <f>'Summary Sheet'!$F$17</f>
        <v>0</v>
      </c>
      <c r="BH50" s="68">
        <f>'Summary Sheet'!$F$18</f>
        <v>0</v>
      </c>
      <c r="BI50" s="68">
        <f>'Summary Sheet'!$F$19</f>
        <v>0</v>
      </c>
      <c r="BJ50" s="68">
        <f>'Summary Sheet'!$F$20</f>
        <v>0</v>
      </c>
      <c r="BK50" s="10" t="e">
        <f>'Summary Sheet'!$F$11-'Summary Sheet'!$F$12</f>
        <v>#DIV/0!</v>
      </c>
      <c r="BL50" s="69" t="e">
        <f>((BC50*BG50*BK50)+(BD50*BH50*BK50)+(BE50*BI50*BK50)+(BF50*BJ50*BK50))*'Summary Sheet'!$F$6</f>
        <v>#DIV/0!</v>
      </c>
      <c r="BN50">
        <v>2028</v>
      </c>
      <c r="BO50" s="9">
        <f>'E- &amp; NG Prices'!B24</f>
        <v>117.57412093441248</v>
      </c>
      <c r="BP50" s="9">
        <f>'E- &amp; NG Prices'!C24</f>
        <v>161.11338431762317</v>
      </c>
      <c r="BQ50" s="9">
        <f>'E- &amp; NG Prices'!D24</f>
        <v>141.33725725066984</v>
      </c>
      <c r="BR50" s="9">
        <f>'E- &amp; NG Prices'!E24</f>
        <v>146.65336068716474</v>
      </c>
      <c r="BS50" s="9">
        <f>'E- &amp; NG Prices'!F24</f>
        <v>104.83081764143786</v>
      </c>
      <c r="BT50" s="68">
        <f>'Summary Sheet'!$G$17</f>
        <v>0</v>
      </c>
      <c r="BU50" s="68">
        <f>'Summary Sheet'!$G$18</f>
        <v>0</v>
      </c>
      <c r="BV50" s="68">
        <f>'Summary Sheet'!$G$19</f>
        <v>0</v>
      </c>
      <c r="BW50" s="68">
        <f>'Summary Sheet'!$G$20</f>
        <v>0</v>
      </c>
      <c r="BX50" s="10" t="e">
        <f>'Summary Sheet'!$G$11-'Summary Sheet'!$G$12</f>
        <v>#DIV/0!</v>
      </c>
      <c r="BY50" s="69" t="e">
        <f>((BP50*BT50*BX50)+(BQ50*BU50*BX50)+(BR50*BV50*BX50)+(BS50*BW50*BX50))*'Summary Sheet'!$G$6</f>
        <v>#DIV/0!</v>
      </c>
    </row>
    <row r="51" spans="59:62" ht="12.75">
      <c r="BG51" s="68"/>
      <c r="BH51" s="68"/>
      <c r="BI51" s="68"/>
      <c r="BJ51" s="68"/>
    </row>
    <row r="52" spans="11:77" ht="12.75">
      <c r="K52" t="s">
        <v>170</v>
      </c>
      <c r="L52" t="e">
        <f>SUM(L31:L50)</f>
        <v>#DIV/0!</v>
      </c>
      <c r="X52" t="s">
        <v>170</v>
      </c>
      <c r="Y52" t="e">
        <f>SUM(Y31:Y50)</f>
        <v>#DIV/0!</v>
      </c>
      <c r="AK52" t="s">
        <v>170</v>
      </c>
      <c r="AL52" t="e">
        <f>SUM(AL31:AL50)</f>
        <v>#DIV/0!</v>
      </c>
      <c r="AX52" t="s">
        <v>170</v>
      </c>
      <c r="AY52" t="e">
        <f>SUM(AY31:AY50)</f>
        <v>#DIV/0!</v>
      </c>
      <c r="BK52" t="s">
        <v>170</v>
      </c>
      <c r="BL52" t="e">
        <f>SUM(BL31:BL50)</f>
        <v>#DIV/0!</v>
      </c>
      <c r="BX52" t="s">
        <v>170</v>
      </c>
      <c r="BY52" t="e">
        <f>SUM(BY31:BY50)</f>
        <v>#DIV/0!</v>
      </c>
    </row>
    <row r="53" spans="11:77" ht="12.75">
      <c r="K53" t="s">
        <v>171</v>
      </c>
      <c r="L53" s="8" t="e">
        <f>NPV('Summary Sheet'!$B$67,L31:L50)</f>
        <v>#DIV/0!</v>
      </c>
      <c r="M53" s="8"/>
      <c r="X53" t="s">
        <v>171</v>
      </c>
      <c r="Y53" s="8" t="e">
        <f>NPV('Summary Sheet'!$C$67,Y31:Y50)</f>
        <v>#DIV/0!</v>
      </c>
      <c r="AK53" t="s">
        <v>171</v>
      </c>
      <c r="AL53" s="8" t="e">
        <f>NPV('Summary Sheet'!$D$67,AL31:AL50)</f>
        <v>#DIV/0!</v>
      </c>
      <c r="AX53" t="s">
        <v>171</v>
      </c>
      <c r="AY53" s="8" t="e">
        <f>NPV('Summary Sheet'!$E$67,AY31:AY50)</f>
        <v>#DIV/0!</v>
      </c>
      <c r="AZ53" s="8"/>
      <c r="BK53" t="s">
        <v>171</v>
      </c>
      <c r="BL53" s="8" t="e">
        <f>NPV('Summary Sheet'!$F$67,BL31:BL50)</f>
        <v>#DIV/0!</v>
      </c>
      <c r="BX53" t="s">
        <v>171</v>
      </c>
      <c r="BY53" s="8" t="e">
        <f>NPV('Summary Sheet'!$G$67,BY31:BY50)</f>
        <v>#DIV/0!</v>
      </c>
    </row>
    <row r="54" spans="12:80" ht="12.75">
      <c r="L54" s="8"/>
      <c r="M54" s="8"/>
      <c r="Z54" s="8"/>
      <c r="AM54" s="8"/>
      <c r="AZ54" s="8"/>
      <c r="BM54" s="8"/>
      <c r="BN54" s="8"/>
      <c r="CA54" s="8"/>
      <c r="CB54" s="8"/>
    </row>
    <row r="56" spans="1:72" ht="12.75">
      <c r="A56" s="246" t="s">
        <v>742</v>
      </c>
      <c r="B56" s="245"/>
      <c r="C56" s="245"/>
      <c r="D56" s="245"/>
      <c r="E56" s="245"/>
      <c r="F56" s="12"/>
      <c r="G56" s="12"/>
      <c r="N56" s="246" t="s">
        <v>742</v>
      </c>
      <c r="O56" s="245"/>
      <c r="P56" s="245"/>
      <c r="Q56" s="245"/>
      <c r="R56" s="245"/>
      <c r="S56" s="12"/>
      <c r="T56" s="12"/>
      <c r="AA56" s="246" t="s">
        <v>742</v>
      </c>
      <c r="AB56" s="245"/>
      <c r="AC56" s="245"/>
      <c r="AD56" s="245"/>
      <c r="AE56" s="245"/>
      <c r="AF56" s="12"/>
      <c r="AG56" s="12"/>
      <c r="AN56" s="246" t="s">
        <v>742</v>
      </c>
      <c r="AO56" s="245"/>
      <c r="AP56" s="245"/>
      <c r="AQ56" s="245"/>
      <c r="AR56" s="245"/>
      <c r="AS56" s="12"/>
      <c r="AT56" s="12"/>
      <c r="BA56" s="246" t="s">
        <v>742</v>
      </c>
      <c r="BB56" s="245"/>
      <c r="BC56" s="245"/>
      <c r="BD56" s="245"/>
      <c r="BE56" s="245"/>
      <c r="BF56" s="12"/>
      <c r="BG56" s="12"/>
      <c r="BN56" s="246" t="s">
        <v>742</v>
      </c>
      <c r="BO56" s="245"/>
      <c r="BP56" s="245"/>
      <c r="BQ56" s="245"/>
      <c r="BR56" s="245"/>
      <c r="BS56" s="12"/>
      <c r="BT56" s="12"/>
    </row>
    <row r="57" spans="1:69" ht="25.5">
      <c r="A57" s="7" t="s">
        <v>159</v>
      </c>
      <c r="B57" s="7" t="s">
        <v>173</v>
      </c>
      <c r="C57" s="7" t="s">
        <v>189</v>
      </c>
      <c r="D57" s="7" t="s">
        <v>172</v>
      </c>
      <c r="N57" s="7" t="s">
        <v>159</v>
      </c>
      <c r="O57" s="7" t="s">
        <v>173</v>
      </c>
      <c r="P57" s="7" t="s">
        <v>189</v>
      </c>
      <c r="Q57" s="7" t="s">
        <v>172</v>
      </c>
      <c r="AA57" s="7" t="s">
        <v>159</v>
      </c>
      <c r="AB57" s="7" t="s">
        <v>173</v>
      </c>
      <c r="AC57" s="7" t="s">
        <v>189</v>
      </c>
      <c r="AD57" s="7" t="s">
        <v>172</v>
      </c>
      <c r="AN57" s="7" t="s">
        <v>159</v>
      </c>
      <c r="AO57" s="7" t="s">
        <v>173</v>
      </c>
      <c r="AP57" s="7" t="s">
        <v>189</v>
      </c>
      <c r="AQ57" s="7" t="s">
        <v>172</v>
      </c>
      <c r="BA57" s="7" t="s">
        <v>159</v>
      </c>
      <c r="BB57" s="7" t="s">
        <v>173</v>
      </c>
      <c r="BC57" s="7" t="s">
        <v>189</v>
      </c>
      <c r="BD57" s="7" t="s">
        <v>172</v>
      </c>
      <c r="BN57" s="7" t="s">
        <v>159</v>
      </c>
      <c r="BO57" s="7" t="s">
        <v>173</v>
      </c>
      <c r="BP57" s="7" t="s">
        <v>189</v>
      </c>
      <c r="BQ57" s="7" t="s">
        <v>172</v>
      </c>
    </row>
    <row r="58" spans="1:69" ht="12.75">
      <c r="A58">
        <v>2009</v>
      </c>
      <c r="B58" s="10">
        <f>'Summary Sheet'!$B$61*((1+(Inflation!B7-Inflation!$B$4)/Inflation!$B$4))</f>
        <v>15.670038802660754</v>
      </c>
      <c r="C58" s="10" t="e">
        <f>'Summary Sheet'!$B$11-'Summary Sheet'!$B$12</f>
        <v>#DIV/0!</v>
      </c>
      <c r="D58" t="e">
        <f>(B58*C58*'Summary Sheet'!$B$6)</f>
        <v>#DIV/0!</v>
      </c>
      <c r="N58">
        <v>2009</v>
      </c>
      <c r="O58" s="10">
        <f>'Summary Sheet'!$C$61*((1+(Inflation!B7-Inflation!$B$4)/Inflation!$B$4))</f>
        <v>15.670038802660754</v>
      </c>
      <c r="P58" s="10">
        <v>0</v>
      </c>
      <c r="Q58">
        <v>0</v>
      </c>
      <c r="AA58">
        <v>2009</v>
      </c>
      <c r="AB58" s="10">
        <f>'Summary Sheet'!$D$61*((1+(Inflation!B7-Inflation!$B$4)/Inflation!$B$4))</f>
        <v>15.670038802660754</v>
      </c>
      <c r="AC58" s="10" t="e">
        <f>'Summary Sheet'!$D$11-'Summary Sheet'!$D$12</f>
        <v>#DIV/0!</v>
      </c>
      <c r="AD58" t="e">
        <f>(AB58*AC58)*'Summary Sheet'!$D$6</f>
        <v>#DIV/0!</v>
      </c>
      <c r="AN58">
        <v>2009</v>
      </c>
      <c r="AO58" s="10">
        <f>'Summary Sheet'!$E$61*((1+(Inflation!B7-Inflation!$B$4)/Inflation!$B$4))</f>
        <v>15.670038802660754</v>
      </c>
      <c r="AP58" s="10" t="e">
        <f>'Summary Sheet'!$E$11-'Summary Sheet'!$E$12</f>
        <v>#DIV/0!</v>
      </c>
      <c r="AQ58" t="e">
        <f>(AO58*AP58)*'Summary Sheet'!$E$6</f>
        <v>#DIV/0!</v>
      </c>
      <c r="BA58">
        <v>2009</v>
      </c>
      <c r="BB58" s="10">
        <f>'Summary Sheet'!$F$61*((1+(Inflation!B7-Inflation!$B$4)/Inflation!$B$4))</f>
        <v>15.670038802660754</v>
      </c>
      <c r="BC58" s="10" t="e">
        <f>'Summary Sheet'!$F$11-'Summary Sheet'!$F$12</f>
        <v>#DIV/0!</v>
      </c>
      <c r="BD58" t="e">
        <f>(BB58*BC58)*'Summary Sheet'!$F$6</f>
        <v>#DIV/0!</v>
      </c>
      <c r="BN58">
        <v>2009</v>
      </c>
      <c r="BO58" s="10">
        <f>'Summary Sheet'!$G$61*((1+(Inflation!B7-Inflation!$B$4)/Inflation!$B$4))</f>
        <v>15.670038802660754</v>
      </c>
      <c r="BP58" s="10" t="e">
        <f>'Summary Sheet'!$G$11-'Summary Sheet'!$G$12</f>
        <v>#DIV/0!</v>
      </c>
      <c r="BQ58" t="e">
        <f>(BO58*BP58)*'Summary Sheet'!$G$6</f>
        <v>#DIV/0!</v>
      </c>
    </row>
    <row r="59" spans="1:69" ht="12.75">
      <c r="A59">
        <v>2010</v>
      </c>
      <c r="B59" s="10">
        <f>B58*((1+(Inflation!B8-Inflation!B7)/Inflation!B7))</f>
        <v>16.0740022172949</v>
      </c>
      <c r="C59" s="10" t="e">
        <f>'Summary Sheet'!$B$11-'Summary Sheet'!$B$12</f>
        <v>#DIV/0!</v>
      </c>
      <c r="D59" t="e">
        <f>(B59*C59*'Summary Sheet'!$B$6)</f>
        <v>#DIV/0!</v>
      </c>
      <c r="N59">
        <v>2010</v>
      </c>
      <c r="O59" s="10">
        <f>O58*((1+(Inflation!B8-Inflation!B7)/Inflation!B7))</f>
        <v>16.0740022172949</v>
      </c>
      <c r="P59" s="10" t="e">
        <f>'Summary Sheet'!$C$11-'Summary Sheet'!$C$12</f>
        <v>#DIV/0!</v>
      </c>
      <c r="Q59" t="e">
        <f>(O59*P59)*'Summary Sheet'!$C$6</f>
        <v>#DIV/0!</v>
      </c>
      <c r="AA59">
        <v>2010</v>
      </c>
      <c r="AB59" s="10">
        <f>AB58*((1+(Inflation!B8-Inflation!B7)/Inflation!B7))</f>
        <v>16.0740022172949</v>
      </c>
      <c r="AC59" s="10" t="e">
        <f>'Summary Sheet'!$D$11-'Summary Sheet'!$D$12</f>
        <v>#DIV/0!</v>
      </c>
      <c r="AD59" t="e">
        <f>(AB59*AC59)*'Summary Sheet'!$D$6</f>
        <v>#DIV/0!</v>
      </c>
      <c r="AN59">
        <v>2010</v>
      </c>
      <c r="AO59" s="10">
        <f>AO58*((1+(Inflation!B8-Inflation!B7)/Inflation!B7))</f>
        <v>16.0740022172949</v>
      </c>
      <c r="AP59" s="10" t="e">
        <f>'Summary Sheet'!$E$11-'Summary Sheet'!$E$12</f>
        <v>#DIV/0!</v>
      </c>
      <c r="AQ59" t="e">
        <f>(AO59*AP59)*'Summary Sheet'!$E$6</f>
        <v>#DIV/0!</v>
      </c>
      <c r="BA59">
        <v>2010</v>
      </c>
      <c r="BB59" s="10">
        <f>BB58*((1+(Inflation!B8-Inflation!B7)/Inflation!B7))</f>
        <v>16.0740022172949</v>
      </c>
      <c r="BC59" s="10" t="e">
        <f>'Summary Sheet'!$F$11-'Summary Sheet'!$F$12</f>
        <v>#DIV/0!</v>
      </c>
      <c r="BD59" t="e">
        <f>(BB59*BC59)*'Summary Sheet'!$F$6</f>
        <v>#DIV/0!</v>
      </c>
      <c r="BN59">
        <v>2010</v>
      </c>
      <c r="BO59" s="10">
        <f>BO58*((1+(Inflation!B8-Inflation!B7)/Inflation!B7))</f>
        <v>16.0740022172949</v>
      </c>
      <c r="BP59" s="10" t="e">
        <f>'Summary Sheet'!$G$11-'Summary Sheet'!$G$12</f>
        <v>#DIV/0!</v>
      </c>
      <c r="BQ59" t="e">
        <f>(BO59*BP59)*'Summary Sheet'!$G$6</f>
        <v>#DIV/0!</v>
      </c>
    </row>
    <row r="60" spans="1:69" ht="12.75">
      <c r="A60">
        <v>2011</v>
      </c>
      <c r="B60" s="10">
        <f>B59*((1+(Inflation!B9-Inflation!B8)/Inflation!B8))</f>
        <v>16.58190133037694</v>
      </c>
      <c r="C60" s="10" t="e">
        <f>'Summary Sheet'!$B$11-'Summary Sheet'!$B$12</f>
        <v>#DIV/0!</v>
      </c>
      <c r="D60" t="e">
        <f>(B60*C60*'Summary Sheet'!$B$6)</f>
        <v>#DIV/0!</v>
      </c>
      <c r="N60">
        <v>2011</v>
      </c>
      <c r="O60" s="10">
        <f>O59*((1+(Inflation!B9-Inflation!B8)/Inflation!B8))</f>
        <v>16.58190133037694</v>
      </c>
      <c r="P60" s="10" t="e">
        <f>'Summary Sheet'!$C$11-'Summary Sheet'!$C$12</f>
        <v>#DIV/0!</v>
      </c>
      <c r="Q60" t="e">
        <f>(O60*P60)*'Summary Sheet'!$C$6</f>
        <v>#DIV/0!</v>
      </c>
      <c r="AA60">
        <v>2011</v>
      </c>
      <c r="AB60" s="10">
        <f>AB59*((1+(Inflation!B9-Inflation!B8)/Inflation!B8))</f>
        <v>16.58190133037694</v>
      </c>
      <c r="AC60" s="10" t="e">
        <f>'Summary Sheet'!$D$11-'Summary Sheet'!$D$12</f>
        <v>#DIV/0!</v>
      </c>
      <c r="AD60" t="e">
        <f>(AB60*AC60)*'Summary Sheet'!$D$6</f>
        <v>#DIV/0!</v>
      </c>
      <c r="AN60">
        <v>2011</v>
      </c>
      <c r="AO60" s="10">
        <f>AO59*((1+(Inflation!B9-Inflation!B8)/Inflation!B8))</f>
        <v>16.58190133037694</v>
      </c>
      <c r="AP60" s="10" t="e">
        <f>'Summary Sheet'!$E$11-'Summary Sheet'!$E$12</f>
        <v>#DIV/0!</v>
      </c>
      <c r="AQ60" t="e">
        <f>(AO60*AP60)*'Summary Sheet'!$E$6</f>
        <v>#DIV/0!</v>
      </c>
      <c r="BA60">
        <v>2011</v>
      </c>
      <c r="BB60" s="10">
        <f>BB59*((1+(Inflation!B9-Inflation!B8)/Inflation!B8))</f>
        <v>16.58190133037694</v>
      </c>
      <c r="BC60" s="10" t="e">
        <f>'Summary Sheet'!$F$11-'Summary Sheet'!$F$12</f>
        <v>#DIV/0!</v>
      </c>
      <c r="BD60" t="e">
        <f>(BB60*BC60)*'Summary Sheet'!$F$6</f>
        <v>#DIV/0!</v>
      </c>
      <c r="BN60">
        <v>2011</v>
      </c>
      <c r="BO60" s="10">
        <f>BO59*((1+(Inflation!B9-Inflation!B8)/Inflation!B8))</f>
        <v>16.58190133037694</v>
      </c>
      <c r="BP60" s="10" t="e">
        <f>'Summary Sheet'!$G$11-'Summary Sheet'!$G$12</f>
        <v>#DIV/0!</v>
      </c>
      <c r="BQ60" t="e">
        <f>(BO60*BP60)*'Summary Sheet'!$G$6</f>
        <v>#DIV/0!</v>
      </c>
    </row>
    <row r="61" spans="1:69" ht="12.75">
      <c r="A61">
        <v>2012</v>
      </c>
      <c r="B61" s="10">
        <f>B60*((1+(Inflation!B10-Inflation!B9)/Inflation!B9))</f>
        <v>16.95121951219512</v>
      </c>
      <c r="C61" s="10" t="e">
        <f>'Summary Sheet'!$B$11-'Summary Sheet'!$B$12</f>
        <v>#DIV/0!</v>
      </c>
      <c r="D61" t="e">
        <f>(B61*C61*'Summary Sheet'!$B$6)</f>
        <v>#DIV/0!</v>
      </c>
      <c r="N61">
        <v>2012</v>
      </c>
      <c r="O61" s="10">
        <f>O60*((1+(Inflation!B10-Inflation!B9)/Inflation!B9))</f>
        <v>16.95121951219512</v>
      </c>
      <c r="P61" s="10" t="e">
        <f>'Summary Sheet'!$C$11-'Summary Sheet'!$C$12</f>
        <v>#DIV/0!</v>
      </c>
      <c r="Q61" t="e">
        <f>(O61*P61)*'Summary Sheet'!$C$6</f>
        <v>#DIV/0!</v>
      </c>
      <c r="AA61">
        <v>2012</v>
      </c>
      <c r="AB61" s="10">
        <f>AB60*((1+(Inflation!B10-Inflation!B9)/Inflation!B9))</f>
        <v>16.95121951219512</v>
      </c>
      <c r="AC61" s="10" t="e">
        <f>'Summary Sheet'!$D$11-'Summary Sheet'!$D$12</f>
        <v>#DIV/0!</v>
      </c>
      <c r="AD61" t="e">
        <f>(AB61*AC61)*'Summary Sheet'!$D$6</f>
        <v>#DIV/0!</v>
      </c>
      <c r="AN61">
        <v>2012</v>
      </c>
      <c r="AO61" s="10">
        <f>AO60*((1+(Inflation!B10-Inflation!B9)/Inflation!B9))</f>
        <v>16.95121951219512</v>
      </c>
      <c r="AP61" s="10" t="e">
        <f>'Summary Sheet'!$E$11-'Summary Sheet'!$E$12</f>
        <v>#DIV/0!</v>
      </c>
      <c r="AQ61" t="e">
        <f>(AO61*AP61)*'Summary Sheet'!$E$6</f>
        <v>#DIV/0!</v>
      </c>
      <c r="BA61">
        <v>2012</v>
      </c>
      <c r="BB61" s="10">
        <f>BB60*((1+(Inflation!B10-Inflation!B9)/Inflation!B9))</f>
        <v>16.95121951219512</v>
      </c>
      <c r="BC61" s="10" t="e">
        <f>'Summary Sheet'!$F$11-'Summary Sheet'!$F$12</f>
        <v>#DIV/0!</v>
      </c>
      <c r="BD61" t="e">
        <f>(BB61*BC61)*'Summary Sheet'!$F$6</f>
        <v>#DIV/0!</v>
      </c>
      <c r="BN61">
        <v>2012</v>
      </c>
      <c r="BO61" s="10">
        <f>BO60*((1+(Inflation!B10-Inflation!B9)/Inflation!B9))</f>
        <v>16.95121951219512</v>
      </c>
      <c r="BP61" s="10" t="e">
        <f>'Summary Sheet'!$G$11-'Summary Sheet'!$G$12</f>
        <v>#DIV/0!</v>
      </c>
      <c r="BQ61" t="e">
        <f>(BO61*BP61)*'Summary Sheet'!$G$6</f>
        <v>#DIV/0!</v>
      </c>
    </row>
    <row r="62" spans="1:69" ht="12.75">
      <c r="A62">
        <v>2013</v>
      </c>
      <c r="B62" s="10">
        <f>B61*((1+(Inflation!B11-Inflation!B10)/Inflation!B10))</f>
        <v>17.33093126385809</v>
      </c>
      <c r="C62" s="10" t="e">
        <f>'Summary Sheet'!$B$11-'Summary Sheet'!$B$12</f>
        <v>#DIV/0!</v>
      </c>
      <c r="D62" t="e">
        <f>(B62*C62*'Summary Sheet'!$B$6)</f>
        <v>#DIV/0!</v>
      </c>
      <c r="N62">
        <v>2013</v>
      </c>
      <c r="O62" s="10">
        <f>O61*((1+(Inflation!B11-Inflation!B10)/Inflation!B10))</f>
        <v>17.33093126385809</v>
      </c>
      <c r="P62" s="10" t="e">
        <f>'Summary Sheet'!$C$11-'Summary Sheet'!$C$12</f>
        <v>#DIV/0!</v>
      </c>
      <c r="Q62" t="e">
        <f>(O62*P62)*'Summary Sheet'!$C$6</f>
        <v>#DIV/0!</v>
      </c>
      <c r="AA62">
        <v>2013</v>
      </c>
      <c r="AB62" s="10">
        <f>AB61*((1+(Inflation!B11-Inflation!B10)/Inflation!B10))</f>
        <v>17.33093126385809</v>
      </c>
      <c r="AC62" s="10" t="e">
        <f>'Summary Sheet'!$D$11-'Summary Sheet'!$D$12</f>
        <v>#DIV/0!</v>
      </c>
      <c r="AD62" t="e">
        <f>(AB62*AC62)*'Summary Sheet'!$D$6</f>
        <v>#DIV/0!</v>
      </c>
      <c r="AN62">
        <v>2013</v>
      </c>
      <c r="AO62" s="10">
        <f>AO61*((1+(Inflation!B11-Inflation!B10)/Inflation!B10))</f>
        <v>17.33093126385809</v>
      </c>
      <c r="AP62" s="10" t="e">
        <f>'Summary Sheet'!$E$11-'Summary Sheet'!$E$12</f>
        <v>#DIV/0!</v>
      </c>
      <c r="AQ62" t="e">
        <f>(AO62*AP62)*'Summary Sheet'!$E$6</f>
        <v>#DIV/0!</v>
      </c>
      <c r="BA62">
        <v>2013</v>
      </c>
      <c r="BB62" s="10">
        <f>BB61*((1+(Inflation!B11-Inflation!B10)/Inflation!B10))</f>
        <v>17.33093126385809</v>
      </c>
      <c r="BC62" s="10" t="e">
        <f>'Summary Sheet'!$F$11-'Summary Sheet'!$F$12</f>
        <v>#DIV/0!</v>
      </c>
      <c r="BD62" t="e">
        <f>(BB62*BC62)*'Summary Sheet'!$F$6</f>
        <v>#DIV/0!</v>
      </c>
      <c r="BN62">
        <v>2013</v>
      </c>
      <c r="BO62" s="10">
        <f>BO61*((1+(Inflation!B11-Inflation!B10)/Inflation!B10))</f>
        <v>17.33093126385809</v>
      </c>
      <c r="BP62" s="10" t="e">
        <f>'Summary Sheet'!$G$11-'Summary Sheet'!$G$12</f>
        <v>#DIV/0!</v>
      </c>
      <c r="BQ62" t="e">
        <f>(BO62*BP62)*'Summary Sheet'!$G$6</f>
        <v>#DIV/0!</v>
      </c>
    </row>
    <row r="63" spans="1:69" ht="12.75">
      <c r="A63">
        <v>2014</v>
      </c>
      <c r="B63" s="10">
        <f>B62*((1+(Inflation!B12-Inflation!B11)/Inflation!B11))</f>
        <v>17.681541019955652</v>
      </c>
      <c r="C63" s="10" t="e">
        <f>'Summary Sheet'!$B$11-'Summary Sheet'!$B$12</f>
        <v>#DIV/0!</v>
      </c>
      <c r="D63" t="e">
        <f>(B63*C63*'Summary Sheet'!$B$6)</f>
        <v>#DIV/0!</v>
      </c>
      <c r="N63">
        <v>2014</v>
      </c>
      <c r="O63" s="10">
        <f>O62*((1+(Inflation!B12-Inflation!B11)/Inflation!B11))</f>
        <v>17.681541019955652</v>
      </c>
      <c r="P63" s="10" t="e">
        <f>'Summary Sheet'!$C$11-'Summary Sheet'!$C$12</f>
        <v>#DIV/0!</v>
      </c>
      <c r="Q63" t="e">
        <f>(O63*P63)*'Summary Sheet'!$C$6</f>
        <v>#DIV/0!</v>
      </c>
      <c r="AA63">
        <v>2014</v>
      </c>
      <c r="AB63" s="10">
        <f>AB62*((1+(Inflation!B12-Inflation!B11)/Inflation!B11))</f>
        <v>17.681541019955652</v>
      </c>
      <c r="AC63" s="10" t="e">
        <f>'Summary Sheet'!$D$11-'Summary Sheet'!$D$12</f>
        <v>#DIV/0!</v>
      </c>
      <c r="AD63" t="e">
        <f>(AB63*AC63)*'Summary Sheet'!$D$6</f>
        <v>#DIV/0!</v>
      </c>
      <c r="AN63">
        <v>2014</v>
      </c>
      <c r="AO63" s="10">
        <f>AO62*((1+(Inflation!B12-Inflation!B11)/Inflation!B11))</f>
        <v>17.681541019955652</v>
      </c>
      <c r="AP63" s="10" t="e">
        <f>'Summary Sheet'!$E$11-'Summary Sheet'!$E$12</f>
        <v>#DIV/0!</v>
      </c>
      <c r="AQ63" t="e">
        <f>(AO63*AP63)*'Summary Sheet'!$E$6</f>
        <v>#DIV/0!</v>
      </c>
      <c r="BA63">
        <v>2014</v>
      </c>
      <c r="BB63" s="10">
        <f>BB62*((1+(Inflation!B12-Inflation!B11)/Inflation!B11))</f>
        <v>17.681541019955652</v>
      </c>
      <c r="BC63" s="10" t="e">
        <f>'Summary Sheet'!$F$11-'Summary Sheet'!$F$12</f>
        <v>#DIV/0!</v>
      </c>
      <c r="BD63" t="e">
        <f>(BB63*BC63)*'Summary Sheet'!$F$6</f>
        <v>#DIV/0!</v>
      </c>
      <c r="BN63">
        <v>2014</v>
      </c>
      <c r="BO63" s="10">
        <f>BO62*((1+(Inflation!B12-Inflation!B11)/Inflation!B11))</f>
        <v>17.681541019955652</v>
      </c>
      <c r="BP63" s="10" t="e">
        <f>'Summary Sheet'!$G$11-'Summary Sheet'!$G$12</f>
        <v>#DIV/0!</v>
      </c>
      <c r="BQ63" t="e">
        <f>(BO63*BP63)*'Summary Sheet'!$G$6</f>
        <v>#DIV/0!</v>
      </c>
    </row>
    <row r="64" spans="1:69" ht="12.75">
      <c r="A64">
        <v>2015</v>
      </c>
      <c r="B64" s="10">
        <f>B63*((1+(Inflation!B13-Inflation!B12)/Inflation!B12))</f>
        <v>17.986419068736136</v>
      </c>
      <c r="C64" s="10" t="e">
        <f>'Summary Sheet'!$B$11-'Summary Sheet'!$B$12</f>
        <v>#DIV/0!</v>
      </c>
      <c r="D64" t="e">
        <f>(B64*C64*'Summary Sheet'!$B$6)</f>
        <v>#DIV/0!</v>
      </c>
      <c r="N64">
        <v>2015</v>
      </c>
      <c r="O64" s="10">
        <f>O63*((1+(Inflation!B13-Inflation!B12)/Inflation!B12))</f>
        <v>17.986419068736136</v>
      </c>
      <c r="P64" s="10" t="e">
        <f>'Summary Sheet'!$C$11-'Summary Sheet'!$C$12</f>
        <v>#DIV/0!</v>
      </c>
      <c r="Q64" t="e">
        <f>(O64*P64)*'Summary Sheet'!$C$6</f>
        <v>#DIV/0!</v>
      </c>
      <c r="AA64">
        <v>2015</v>
      </c>
      <c r="AB64" s="10">
        <f>AB63*((1+(Inflation!B13-Inflation!B12)/Inflation!B12))</f>
        <v>17.986419068736136</v>
      </c>
      <c r="AC64" s="10" t="e">
        <f>'Summary Sheet'!$D$11-'Summary Sheet'!$D$12</f>
        <v>#DIV/0!</v>
      </c>
      <c r="AD64" t="e">
        <f>(AB64*AC64)*'Summary Sheet'!$D$6</f>
        <v>#DIV/0!</v>
      </c>
      <c r="AN64">
        <v>2015</v>
      </c>
      <c r="AO64" s="10">
        <f>AO63*((1+(Inflation!B13-Inflation!B12)/Inflation!B12))</f>
        <v>17.986419068736136</v>
      </c>
      <c r="AP64" s="10" t="e">
        <f>'Summary Sheet'!$E$11-'Summary Sheet'!$E$12</f>
        <v>#DIV/0!</v>
      </c>
      <c r="AQ64" t="e">
        <f>(AO64*AP64)*'Summary Sheet'!$E$6</f>
        <v>#DIV/0!</v>
      </c>
      <c r="BA64">
        <v>2015</v>
      </c>
      <c r="BB64" s="10">
        <f>BB63*((1+(Inflation!B13-Inflation!B12)/Inflation!B12))</f>
        <v>17.986419068736136</v>
      </c>
      <c r="BC64" s="10" t="e">
        <f>'Summary Sheet'!$F$11-'Summary Sheet'!$F$12</f>
        <v>#DIV/0!</v>
      </c>
      <c r="BD64" t="e">
        <f>(BB64*BC64)*'Summary Sheet'!$F$6</f>
        <v>#DIV/0!</v>
      </c>
      <c r="BN64">
        <v>2015</v>
      </c>
      <c r="BO64" s="10">
        <f>BO63*((1+(Inflation!B13-Inflation!B12)/Inflation!B12))</f>
        <v>17.986419068736136</v>
      </c>
      <c r="BP64" s="10" t="e">
        <f>'Summary Sheet'!$G$11-'Summary Sheet'!$G$12</f>
        <v>#DIV/0!</v>
      </c>
      <c r="BQ64" t="e">
        <f>(BO64*BP64)*'Summary Sheet'!$G$6</f>
        <v>#DIV/0!</v>
      </c>
    </row>
    <row r="65" spans="1:69" ht="12.75">
      <c r="A65">
        <v>2016</v>
      </c>
      <c r="B65" s="10">
        <f>B64*((1+(Inflation!B14-Inflation!B13)/Inflation!B13))</f>
        <v>18.33564301552106</v>
      </c>
      <c r="C65" s="10" t="e">
        <f>'Summary Sheet'!$B$11-'Summary Sheet'!$B$12</f>
        <v>#DIV/0!</v>
      </c>
      <c r="D65" t="e">
        <f>(B65*C65*'Summary Sheet'!$B$6)</f>
        <v>#DIV/0!</v>
      </c>
      <c r="N65">
        <v>2016</v>
      </c>
      <c r="O65" s="10">
        <f>O64*((1+(Inflation!B14-Inflation!B13)/Inflation!B13))</f>
        <v>18.33564301552106</v>
      </c>
      <c r="P65" s="10" t="e">
        <f>'Summary Sheet'!$C$11-'Summary Sheet'!$C$12</f>
        <v>#DIV/0!</v>
      </c>
      <c r="Q65" t="e">
        <f>(O65*P65)*'Summary Sheet'!$C$6</f>
        <v>#DIV/0!</v>
      </c>
      <c r="AA65">
        <v>2016</v>
      </c>
      <c r="AB65" s="10">
        <f>AB64*((1+(Inflation!B14-Inflation!B13)/Inflation!B13))</f>
        <v>18.33564301552106</v>
      </c>
      <c r="AC65" s="10" t="e">
        <f>'Summary Sheet'!$D$11-'Summary Sheet'!$D$12</f>
        <v>#DIV/0!</v>
      </c>
      <c r="AD65" t="e">
        <f>(AB65*AC65)*'Summary Sheet'!$D$6</f>
        <v>#DIV/0!</v>
      </c>
      <c r="AN65">
        <v>2016</v>
      </c>
      <c r="AO65" s="10">
        <f>AO64*((1+(Inflation!B14-Inflation!B13)/Inflation!B13))</f>
        <v>18.33564301552106</v>
      </c>
      <c r="AP65" s="10" t="e">
        <f>'Summary Sheet'!$E$11-'Summary Sheet'!$E$12</f>
        <v>#DIV/0!</v>
      </c>
      <c r="AQ65" t="e">
        <f>(AO65*AP65)*'Summary Sheet'!$E$6</f>
        <v>#DIV/0!</v>
      </c>
      <c r="BA65">
        <v>2016</v>
      </c>
      <c r="BB65" s="10">
        <f>BB64*((1+(Inflation!B14-Inflation!B13)/Inflation!B13))</f>
        <v>18.33564301552106</v>
      </c>
      <c r="BC65" s="10" t="e">
        <f>'Summary Sheet'!$F$11-'Summary Sheet'!$F$12</f>
        <v>#DIV/0!</v>
      </c>
      <c r="BD65" t="e">
        <f>(BB65*BC65)*'Summary Sheet'!$F$6</f>
        <v>#DIV/0!</v>
      </c>
      <c r="BN65">
        <v>2016</v>
      </c>
      <c r="BO65" s="10">
        <f>BO64*((1+(Inflation!B14-Inflation!B13)/Inflation!B13))</f>
        <v>18.33564301552106</v>
      </c>
      <c r="BP65" s="10" t="e">
        <f>'Summary Sheet'!$G$11-'Summary Sheet'!$G$12</f>
        <v>#DIV/0!</v>
      </c>
      <c r="BQ65" t="e">
        <f>(BO65*BP65)*'Summary Sheet'!$G$6</f>
        <v>#DIV/0!</v>
      </c>
    </row>
    <row r="66" spans="1:69" ht="12.75">
      <c r="A66">
        <v>2017</v>
      </c>
      <c r="B66" s="10">
        <f>B65*((1+(Inflation!B15-Inflation!B14)/Inflation!B14))</f>
        <v>18.71396895787139</v>
      </c>
      <c r="C66" s="10" t="e">
        <f>'Summary Sheet'!$B$11-'Summary Sheet'!$B$12</f>
        <v>#DIV/0!</v>
      </c>
      <c r="D66" t="e">
        <f>(B66*C66*'Summary Sheet'!$B$6)</f>
        <v>#DIV/0!</v>
      </c>
      <c r="N66">
        <v>2017</v>
      </c>
      <c r="O66" s="10">
        <f>O65*((1+(Inflation!B15-Inflation!B14)/Inflation!B14))</f>
        <v>18.71396895787139</v>
      </c>
      <c r="P66" s="10" t="e">
        <f>'Summary Sheet'!$C$11-'Summary Sheet'!$C$12</f>
        <v>#DIV/0!</v>
      </c>
      <c r="Q66" t="e">
        <f>(O66*P66)*'Summary Sheet'!$C$6</f>
        <v>#DIV/0!</v>
      </c>
      <c r="AA66">
        <v>2017</v>
      </c>
      <c r="AB66" s="10">
        <f>AB65*((1+(Inflation!B15-Inflation!B14)/Inflation!B14))</f>
        <v>18.71396895787139</v>
      </c>
      <c r="AC66" s="10" t="e">
        <f>'Summary Sheet'!$D$11-'Summary Sheet'!$D$12</f>
        <v>#DIV/0!</v>
      </c>
      <c r="AD66" t="e">
        <f>(AB66*AC66)*'Summary Sheet'!$D$6</f>
        <v>#DIV/0!</v>
      </c>
      <c r="AN66">
        <v>2017</v>
      </c>
      <c r="AO66" s="10">
        <f>AO65*((1+(Inflation!B15-Inflation!B14)/Inflation!B14))</f>
        <v>18.71396895787139</v>
      </c>
      <c r="AP66" s="10" t="e">
        <f>'Summary Sheet'!$E$11-'Summary Sheet'!$E$12</f>
        <v>#DIV/0!</v>
      </c>
      <c r="AQ66" t="e">
        <f>(AO66*AP66)*'Summary Sheet'!$E$6</f>
        <v>#DIV/0!</v>
      </c>
      <c r="BA66">
        <v>2017</v>
      </c>
      <c r="BB66" s="10">
        <f>BB65*((1+(Inflation!B15-Inflation!B14)/Inflation!B14))</f>
        <v>18.71396895787139</v>
      </c>
      <c r="BC66" s="10" t="e">
        <f>'Summary Sheet'!$F$11-'Summary Sheet'!$F$12</f>
        <v>#DIV/0!</v>
      </c>
      <c r="BD66" t="e">
        <f>(BB66*BC66)*'Summary Sheet'!$F$6</f>
        <v>#DIV/0!</v>
      </c>
      <c r="BN66">
        <v>2017</v>
      </c>
      <c r="BO66" s="10">
        <f>BO65*((1+(Inflation!B15-Inflation!B14)/Inflation!B14))</f>
        <v>18.71396895787139</v>
      </c>
      <c r="BP66" s="10" t="e">
        <f>'Summary Sheet'!$G$11-'Summary Sheet'!$G$12</f>
        <v>#DIV/0!</v>
      </c>
      <c r="BQ66" t="e">
        <f>(BO66*BP66)*'Summary Sheet'!$G$6</f>
        <v>#DIV/0!</v>
      </c>
    </row>
    <row r="67" spans="1:69" ht="12.75">
      <c r="A67">
        <v>2018</v>
      </c>
      <c r="B67" s="10">
        <f>B66*((1+(Inflation!B16-Inflation!B15)/Inflation!B15))</f>
        <v>19.110310421286027</v>
      </c>
      <c r="C67" s="10" t="e">
        <f>'Summary Sheet'!$B$11-'Summary Sheet'!$B$12</f>
        <v>#DIV/0!</v>
      </c>
      <c r="D67" t="e">
        <f>(B67*C67*'Summary Sheet'!$B$6)</f>
        <v>#DIV/0!</v>
      </c>
      <c r="N67">
        <v>2018</v>
      </c>
      <c r="O67" s="10">
        <f>O66*((1+(Inflation!B16-Inflation!B15)/Inflation!B15))</f>
        <v>19.110310421286027</v>
      </c>
      <c r="P67" s="10" t="e">
        <f>'Summary Sheet'!$C$11-'Summary Sheet'!$C$12</f>
        <v>#DIV/0!</v>
      </c>
      <c r="Q67" t="e">
        <f>(O67*P67)*'Summary Sheet'!$C$6</f>
        <v>#DIV/0!</v>
      </c>
      <c r="AA67">
        <v>2018</v>
      </c>
      <c r="AB67" s="10">
        <f>AB66*((1+(Inflation!B16-Inflation!B15)/Inflation!B15))</f>
        <v>19.110310421286027</v>
      </c>
      <c r="AC67" s="10" t="e">
        <f>'Summary Sheet'!$D$11-'Summary Sheet'!$D$12</f>
        <v>#DIV/0!</v>
      </c>
      <c r="AD67" t="e">
        <f>(AB67*AC67)*'Summary Sheet'!$D$6</f>
        <v>#DIV/0!</v>
      </c>
      <c r="AN67">
        <v>2018</v>
      </c>
      <c r="AO67" s="10">
        <f>AO66*((1+(Inflation!B16-Inflation!B15)/Inflation!B15))</f>
        <v>19.110310421286027</v>
      </c>
      <c r="AP67" s="10" t="e">
        <f>'Summary Sheet'!$E$11-'Summary Sheet'!$E$12</f>
        <v>#DIV/0!</v>
      </c>
      <c r="AQ67" t="e">
        <f>(AO67*AP67)*'Summary Sheet'!$E$6</f>
        <v>#DIV/0!</v>
      </c>
      <c r="BA67">
        <v>2018</v>
      </c>
      <c r="BB67" s="10">
        <f>BB66*((1+(Inflation!B16-Inflation!B15)/Inflation!B15))</f>
        <v>19.110310421286027</v>
      </c>
      <c r="BC67" s="10" t="e">
        <f>'Summary Sheet'!$F$11-'Summary Sheet'!$F$12</f>
        <v>#DIV/0!</v>
      </c>
      <c r="BD67" t="e">
        <f>(BB67*BC67)*'Summary Sheet'!$F$6</f>
        <v>#DIV/0!</v>
      </c>
      <c r="BN67">
        <v>2018</v>
      </c>
      <c r="BO67" s="10">
        <f>BO66*((1+(Inflation!B16-Inflation!B15)/Inflation!B15))</f>
        <v>19.110310421286027</v>
      </c>
      <c r="BP67" s="10" t="e">
        <f>'Summary Sheet'!$G$11-'Summary Sheet'!$G$12</f>
        <v>#DIV/0!</v>
      </c>
      <c r="BQ67" t="e">
        <f>(BO67*BP67)*'Summary Sheet'!$G$6</f>
        <v>#DIV/0!</v>
      </c>
    </row>
    <row r="68" spans="1:69" ht="12.75">
      <c r="A68">
        <v>2019</v>
      </c>
      <c r="B68" s="10">
        <f>B67*((1+(Inflation!B17-Inflation!B16)/Inflation!B16))</f>
        <v>19.501310717216473</v>
      </c>
      <c r="C68" s="10" t="e">
        <f>'Summary Sheet'!$B$11-'Summary Sheet'!$B$12</f>
        <v>#DIV/0!</v>
      </c>
      <c r="D68" t="e">
        <f>(B68*C68*'Summary Sheet'!$B$6)</f>
        <v>#DIV/0!</v>
      </c>
      <c r="N68">
        <v>2019</v>
      </c>
      <c r="O68" s="10">
        <f>O67*((1+(Inflation!B17-Inflation!B16)/Inflation!B16))</f>
        <v>19.501310717216473</v>
      </c>
      <c r="P68" s="10" t="e">
        <f>'Summary Sheet'!$C$11-'Summary Sheet'!$C$12</f>
        <v>#DIV/0!</v>
      </c>
      <c r="Q68" t="e">
        <f>(O68*P68)*'Summary Sheet'!$C$6</f>
        <v>#DIV/0!</v>
      </c>
      <c r="AA68">
        <v>2019</v>
      </c>
      <c r="AB68" s="10">
        <f>AB67*((1+(Inflation!B17-Inflation!B16)/Inflation!B16))</f>
        <v>19.501310717216473</v>
      </c>
      <c r="AC68" s="10" t="e">
        <f>'Summary Sheet'!$D$11-'Summary Sheet'!$D$12</f>
        <v>#DIV/0!</v>
      </c>
      <c r="AD68" t="e">
        <f>(AB68*AC68)*'Summary Sheet'!$D$6</f>
        <v>#DIV/0!</v>
      </c>
      <c r="AN68">
        <v>2019</v>
      </c>
      <c r="AO68" s="10">
        <f>AO67*((1+(Inflation!B17-Inflation!B16)/Inflation!B16))</f>
        <v>19.501310717216473</v>
      </c>
      <c r="AP68" s="10" t="e">
        <f>'Summary Sheet'!$E$11-'Summary Sheet'!$E$12</f>
        <v>#DIV/0!</v>
      </c>
      <c r="AQ68" t="e">
        <f>(AO68*AP68)*'Summary Sheet'!$E$6</f>
        <v>#DIV/0!</v>
      </c>
      <c r="BA68">
        <v>2019</v>
      </c>
      <c r="BB68" s="10">
        <f>BB67*((1+(Inflation!B17-Inflation!B16)/Inflation!B16))</f>
        <v>19.501310717216473</v>
      </c>
      <c r="BC68" s="10" t="e">
        <f>'Summary Sheet'!$F$11-'Summary Sheet'!$F$12</f>
        <v>#DIV/0!</v>
      </c>
      <c r="BD68" t="e">
        <f>(BB68*BC68)*'Summary Sheet'!$F$6</f>
        <v>#DIV/0!</v>
      </c>
      <c r="BN68">
        <v>2019</v>
      </c>
      <c r="BO68" s="10">
        <f>BO67*((1+(Inflation!B17-Inflation!B16)/Inflation!B16))</f>
        <v>19.501310717216473</v>
      </c>
      <c r="BP68" s="10" t="e">
        <f>'Summary Sheet'!$G$11-'Summary Sheet'!$G$12</f>
        <v>#DIV/0!</v>
      </c>
      <c r="BQ68" t="e">
        <f>(BO68*BP68)*'Summary Sheet'!$G$6</f>
        <v>#DIV/0!</v>
      </c>
    </row>
    <row r="69" spans="1:69" ht="12.75">
      <c r="A69">
        <v>2020</v>
      </c>
      <c r="B69" s="10">
        <f>B68*((1+(Inflation!B18-Inflation!B17)/Inflation!B17))</f>
        <v>19.900310947635028</v>
      </c>
      <c r="C69" s="10" t="e">
        <f>'Summary Sheet'!$B$11-'Summary Sheet'!$B$12</f>
        <v>#DIV/0!</v>
      </c>
      <c r="D69" t="e">
        <f>(B69*C69*'Summary Sheet'!$B$6)</f>
        <v>#DIV/0!</v>
      </c>
      <c r="N69">
        <v>2020</v>
      </c>
      <c r="O69" s="10">
        <f>O68*((1+(Inflation!B18-Inflation!B17)/Inflation!B17))</f>
        <v>19.900310947635028</v>
      </c>
      <c r="P69" s="10" t="e">
        <f>'Summary Sheet'!$C$11-'Summary Sheet'!$C$12</f>
        <v>#DIV/0!</v>
      </c>
      <c r="Q69" t="e">
        <f>(O69*P69)*'Summary Sheet'!$C$6</f>
        <v>#DIV/0!</v>
      </c>
      <c r="AA69">
        <v>2020</v>
      </c>
      <c r="AB69" s="10">
        <f>AB68*((1+(Inflation!B18-Inflation!B17)/Inflation!B17))</f>
        <v>19.900310947635028</v>
      </c>
      <c r="AC69" s="10" t="e">
        <f>'Summary Sheet'!$D$11-'Summary Sheet'!$D$12</f>
        <v>#DIV/0!</v>
      </c>
      <c r="AD69" t="e">
        <f>(AB69*AC69)*'Summary Sheet'!$D$6</f>
        <v>#DIV/0!</v>
      </c>
      <c r="AN69">
        <v>2020</v>
      </c>
      <c r="AO69" s="10">
        <f>AO68*((1+(Inflation!B18-Inflation!B17)/Inflation!B17))</f>
        <v>19.900310947635028</v>
      </c>
      <c r="AP69" s="10" t="e">
        <f>'Summary Sheet'!$E$11-'Summary Sheet'!$E$12</f>
        <v>#DIV/0!</v>
      </c>
      <c r="AQ69" t="e">
        <f>(AO69*AP69)*'Summary Sheet'!$E$6</f>
        <v>#DIV/0!</v>
      </c>
      <c r="BA69">
        <v>2020</v>
      </c>
      <c r="BB69" s="10">
        <f>BB68*((1+(Inflation!B18-Inflation!B17)/Inflation!B17))</f>
        <v>19.900310947635028</v>
      </c>
      <c r="BC69" s="10" t="e">
        <f>'Summary Sheet'!$F$11-'Summary Sheet'!$F$12</f>
        <v>#DIV/0!</v>
      </c>
      <c r="BD69" t="e">
        <f>(BB69*BC69)*'Summary Sheet'!$F$6</f>
        <v>#DIV/0!</v>
      </c>
      <c r="BN69">
        <v>2020</v>
      </c>
      <c r="BO69" s="10">
        <f>BO68*((1+(Inflation!B18-Inflation!B17)/Inflation!B17))</f>
        <v>19.900310947635028</v>
      </c>
      <c r="BP69" s="10" t="e">
        <f>'Summary Sheet'!$G$11-'Summary Sheet'!$G$12</f>
        <v>#DIV/0!</v>
      </c>
      <c r="BQ69" t="e">
        <f>(BO69*BP69)*'Summary Sheet'!$G$6</f>
        <v>#DIV/0!</v>
      </c>
    </row>
    <row r="70" spans="1:69" ht="12.75">
      <c r="A70">
        <v>2021</v>
      </c>
      <c r="B70" s="10">
        <f>B69*((1+(Inflation!B19-Inflation!B18)/Inflation!B18))</f>
        <v>20.307474792601475</v>
      </c>
      <c r="C70" s="10" t="e">
        <f>'Summary Sheet'!$B$11-'Summary Sheet'!$B$12</f>
        <v>#DIV/0!</v>
      </c>
      <c r="D70" t="e">
        <f>(B70*C70*'Summary Sheet'!$B$6)</f>
        <v>#DIV/0!</v>
      </c>
      <c r="N70">
        <v>2021</v>
      </c>
      <c r="O70" s="10">
        <f>O69*((1+(Inflation!B19-Inflation!B18)/Inflation!B18))</f>
        <v>20.307474792601475</v>
      </c>
      <c r="P70" s="10" t="e">
        <f>'Summary Sheet'!$C$11-'Summary Sheet'!$C$12</f>
        <v>#DIV/0!</v>
      </c>
      <c r="Q70" t="e">
        <f>(O70*P70)*'Summary Sheet'!$C$6</f>
        <v>#DIV/0!</v>
      </c>
      <c r="AA70">
        <v>2021</v>
      </c>
      <c r="AB70" s="10">
        <f>AB69*((1+(Inflation!B19-Inflation!B18)/Inflation!B18))</f>
        <v>20.307474792601475</v>
      </c>
      <c r="AC70" s="10" t="e">
        <f>'Summary Sheet'!$D$11-'Summary Sheet'!$D$12</f>
        <v>#DIV/0!</v>
      </c>
      <c r="AD70" t="e">
        <f>(AB70*AC70)*'Summary Sheet'!$D$6</f>
        <v>#DIV/0!</v>
      </c>
      <c r="AN70">
        <v>2021</v>
      </c>
      <c r="AO70" s="10">
        <f>AO69*((1+(Inflation!B19-Inflation!B18)/Inflation!B18))</f>
        <v>20.307474792601475</v>
      </c>
      <c r="AP70" s="10" t="e">
        <f>'Summary Sheet'!$E$11-'Summary Sheet'!$E$12</f>
        <v>#DIV/0!</v>
      </c>
      <c r="AQ70" t="e">
        <f>(AO70*AP70)*'Summary Sheet'!$E$6</f>
        <v>#DIV/0!</v>
      </c>
      <c r="BA70">
        <v>2021</v>
      </c>
      <c r="BB70" s="10">
        <f>BB69*((1+(Inflation!B19-Inflation!B18)/Inflation!B18))</f>
        <v>20.307474792601475</v>
      </c>
      <c r="BC70" s="10" t="e">
        <f>'Summary Sheet'!$F$11-'Summary Sheet'!$F$12</f>
        <v>#DIV/0!</v>
      </c>
      <c r="BD70" t="e">
        <f>(BB70*BC70)*'Summary Sheet'!$F$6</f>
        <v>#DIV/0!</v>
      </c>
      <c r="BN70">
        <v>2021</v>
      </c>
      <c r="BO70" s="10">
        <f>BO69*((1+(Inflation!B19-Inflation!B18)/Inflation!B18))</f>
        <v>20.307474792601475</v>
      </c>
      <c r="BP70" s="10" t="e">
        <f>'Summary Sheet'!$G$11-'Summary Sheet'!$G$12</f>
        <v>#DIV/0!</v>
      </c>
      <c r="BQ70" t="e">
        <f>(BO70*BP70)*'Summary Sheet'!$G$6</f>
        <v>#DIV/0!</v>
      </c>
    </row>
    <row r="71" spans="1:69" ht="12.75">
      <c r="A71">
        <v>2022</v>
      </c>
      <c r="B71" s="10">
        <f>B70*((1+(Inflation!B20-Inflation!B19)/Inflation!B19))</f>
        <v>20.722969281098273</v>
      </c>
      <c r="C71" s="10" t="e">
        <f>'Summary Sheet'!$B$11-'Summary Sheet'!$B$12</f>
        <v>#DIV/0!</v>
      </c>
      <c r="D71" t="e">
        <f>(B71*C71*'Summary Sheet'!$B$6)</f>
        <v>#DIV/0!</v>
      </c>
      <c r="N71">
        <v>2022</v>
      </c>
      <c r="O71" s="10">
        <f>O70*((1+(Inflation!B20-Inflation!B19)/Inflation!B19))</f>
        <v>20.722969281098273</v>
      </c>
      <c r="P71" s="10" t="e">
        <f>'Summary Sheet'!$C$11-'Summary Sheet'!$C$12</f>
        <v>#DIV/0!</v>
      </c>
      <c r="Q71" t="e">
        <f>(O71*P71)*'Summary Sheet'!$C$6</f>
        <v>#DIV/0!</v>
      </c>
      <c r="AA71">
        <v>2022</v>
      </c>
      <c r="AB71" s="10">
        <f>AB70*((1+(Inflation!B20-Inflation!B19)/Inflation!B19))</f>
        <v>20.722969281098273</v>
      </c>
      <c r="AC71" s="10" t="e">
        <f>'Summary Sheet'!$D$11-'Summary Sheet'!$D$12</f>
        <v>#DIV/0!</v>
      </c>
      <c r="AD71" t="e">
        <f>(AB71*AC71)*'Summary Sheet'!$D$6</f>
        <v>#DIV/0!</v>
      </c>
      <c r="AN71">
        <v>2022</v>
      </c>
      <c r="AO71" s="10">
        <f>AO70*((1+(Inflation!B20-Inflation!B19)/Inflation!B19))</f>
        <v>20.722969281098273</v>
      </c>
      <c r="AP71" s="10" t="e">
        <f>'Summary Sheet'!$E$11-'Summary Sheet'!$E$12</f>
        <v>#DIV/0!</v>
      </c>
      <c r="AQ71" t="e">
        <f>(AO71*AP71)*'Summary Sheet'!$E$6</f>
        <v>#DIV/0!</v>
      </c>
      <c r="BA71">
        <v>2022</v>
      </c>
      <c r="BB71" s="10">
        <f>BB70*((1+(Inflation!B20-Inflation!B19)/Inflation!B19))</f>
        <v>20.722969281098273</v>
      </c>
      <c r="BC71" s="10" t="e">
        <f>'Summary Sheet'!$F$11-'Summary Sheet'!$F$12</f>
        <v>#DIV/0!</v>
      </c>
      <c r="BD71" t="e">
        <f>(BB71*BC71)*'Summary Sheet'!$F$6</f>
        <v>#DIV/0!</v>
      </c>
      <c r="BN71">
        <v>2022</v>
      </c>
      <c r="BO71" s="10">
        <f>BO70*((1+(Inflation!B20-Inflation!B19)/Inflation!B19))</f>
        <v>20.722969281098273</v>
      </c>
      <c r="BP71" s="10" t="e">
        <f>'Summary Sheet'!$G$11-'Summary Sheet'!$G$12</f>
        <v>#DIV/0!</v>
      </c>
      <c r="BQ71" t="e">
        <f>(BO71*BP71)*'Summary Sheet'!$G$6</f>
        <v>#DIV/0!</v>
      </c>
    </row>
    <row r="72" spans="1:69" ht="12.75">
      <c r="A72">
        <v>2023</v>
      </c>
      <c r="B72" s="10">
        <f>B71*((1+(Inflation!B21-Inflation!B20)/Inflation!B20))</f>
        <v>21.14696485955009</v>
      </c>
      <c r="C72" s="10" t="e">
        <f>'Summary Sheet'!$B$11-'Summary Sheet'!$B$12</f>
        <v>#DIV/0!</v>
      </c>
      <c r="D72" t="e">
        <f>(B72*C72*'Summary Sheet'!$B$6)</f>
        <v>#DIV/0!</v>
      </c>
      <c r="N72">
        <v>2023</v>
      </c>
      <c r="O72" s="10">
        <f>O71*((1+(Inflation!B21-Inflation!B20)/Inflation!B20))</f>
        <v>21.14696485955009</v>
      </c>
      <c r="P72" s="10" t="e">
        <f>'Summary Sheet'!$C$11-'Summary Sheet'!$C$12</f>
        <v>#DIV/0!</v>
      </c>
      <c r="Q72" t="e">
        <f>(O72*P72)*'Summary Sheet'!$C$6</f>
        <v>#DIV/0!</v>
      </c>
      <c r="AA72">
        <v>2023</v>
      </c>
      <c r="AB72" s="10">
        <f>AB71*((1+(Inflation!B21-Inflation!B20)/Inflation!B20))</f>
        <v>21.14696485955009</v>
      </c>
      <c r="AC72" s="10" t="e">
        <f>'Summary Sheet'!$D$11-'Summary Sheet'!$D$12</f>
        <v>#DIV/0!</v>
      </c>
      <c r="AD72" t="e">
        <f>(AB72*AC72)*'Summary Sheet'!$D$6</f>
        <v>#DIV/0!</v>
      </c>
      <c r="AN72">
        <v>2023</v>
      </c>
      <c r="AO72" s="10">
        <f>AO71*((1+(Inflation!B21-Inflation!B20)/Inflation!B20))</f>
        <v>21.14696485955009</v>
      </c>
      <c r="AP72" s="10" t="e">
        <f>'Summary Sheet'!$E$11-'Summary Sheet'!$E$12</f>
        <v>#DIV/0!</v>
      </c>
      <c r="AQ72" t="e">
        <f>(AO72*AP72)*'Summary Sheet'!$E$6</f>
        <v>#DIV/0!</v>
      </c>
      <c r="BA72">
        <v>2023</v>
      </c>
      <c r="BB72" s="10">
        <f>BB71*((1+(Inflation!B21-Inflation!B20)/Inflation!B20))</f>
        <v>21.14696485955009</v>
      </c>
      <c r="BC72" s="10" t="e">
        <f>'Summary Sheet'!$F$11-'Summary Sheet'!$F$12</f>
        <v>#DIV/0!</v>
      </c>
      <c r="BD72" t="e">
        <f>(BB72*BC72)*'Summary Sheet'!$F$6</f>
        <v>#DIV/0!</v>
      </c>
      <c r="BN72">
        <v>2023</v>
      </c>
      <c r="BO72" s="10">
        <f>BO71*((1+(Inflation!B21-Inflation!B20)/Inflation!B20))</f>
        <v>21.14696485955009</v>
      </c>
      <c r="BP72" s="10" t="e">
        <f>'Summary Sheet'!$G$11-'Summary Sheet'!$G$12</f>
        <v>#DIV/0!</v>
      </c>
      <c r="BQ72" t="e">
        <f>(BO72*BP72)*'Summary Sheet'!$G$6</f>
        <v>#DIV/0!</v>
      </c>
    </row>
    <row r="73" spans="1:69" ht="12.75">
      <c r="A73">
        <v>2024</v>
      </c>
      <c r="B73" s="10">
        <f>B72*((1+(Inflation!B22-Inflation!B21)/Inflation!B21))</f>
        <v>21.579635461745276</v>
      </c>
      <c r="C73" s="10" t="e">
        <f>'Summary Sheet'!$B$11-'Summary Sheet'!$B$12</f>
        <v>#DIV/0!</v>
      </c>
      <c r="D73" t="e">
        <f>(B73*C73*'Summary Sheet'!$B$6)</f>
        <v>#DIV/0!</v>
      </c>
      <c r="N73">
        <v>2024</v>
      </c>
      <c r="O73" s="10">
        <f>O72*((1+(Inflation!B22-Inflation!B21)/Inflation!B21))</f>
        <v>21.579635461745276</v>
      </c>
      <c r="P73" s="10" t="e">
        <f>'Summary Sheet'!$C$11-'Summary Sheet'!$C$12</f>
        <v>#DIV/0!</v>
      </c>
      <c r="Q73" t="e">
        <f>(O73*P73)*'Summary Sheet'!$C$6</f>
        <v>#DIV/0!</v>
      </c>
      <c r="AA73">
        <v>2024</v>
      </c>
      <c r="AB73" s="10">
        <f>AB72*((1+(Inflation!B22-Inflation!B21)/Inflation!B21))</f>
        <v>21.579635461745276</v>
      </c>
      <c r="AC73" s="10" t="e">
        <f>'Summary Sheet'!$D$11-'Summary Sheet'!$D$12</f>
        <v>#DIV/0!</v>
      </c>
      <c r="AD73" t="e">
        <f>(AB73*AC73)*'Summary Sheet'!$D$6</f>
        <v>#DIV/0!</v>
      </c>
      <c r="AN73">
        <v>2024</v>
      </c>
      <c r="AO73" s="10">
        <f>AO72*((1+(Inflation!B22-Inflation!B21)/Inflation!B21))</f>
        <v>21.579635461745276</v>
      </c>
      <c r="AP73" s="10" t="e">
        <f>'Summary Sheet'!$E$11-'Summary Sheet'!$E$12</f>
        <v>#DIV/0!</v>
      </c>
      <c r="AQ73" t="e">
        <f>(AO73*AP73)*'Summary Sheet'!$E$6</f>
        <v>#DIV/0!</v>
      </c>
      <c r="BA73">
        <v>2024</v>
      </c>
      <c r="BB73" s="10">
        <f>BB72*((1+(Inflation!B22-Inflation!B21)/Inflation!B21))</f>
        <v>21.579635461745276</v>
      </c>
      <c r="BC73" s="10" t="e">
        <f>'Summary Sheet'!$F$11-'Summary Sheet'!$F$12</f>
        <v>#DIV/0!</v>
      </c>
      <c r="BD73" t="e">
        <f>(BB73*BC73)*'Summary Sheet'!$F$6</f>
        <v>#DIV/0!</v>
      </c>
      <c r="BN73">
        <v>2024</v>
      </c>
      <c r="BO73" s="10">
        <f>BO72*((1+(Inflation!B22-Inflation!B21)/Inflation!B21))</f>
        <v>21.579635461745276</v>
      </c>
      <c r="BP73" s="10" t="e">
        <f>'Summary Sheet'!$G$11-'Summary Sheet'!$G$12</f>
        <v>#DIV/0!</v>
      </c>
      <c r="BQ73" t="e">
        <f>(BO73*BP73)*'Summary Sheet'!$G$6</f>
        <v>#DIV/0!</v>
      </c>
    </row>
    <row r="74" spans="1:69" ht="12.75">
      <c r="A74">
        <v>2025</v>
      </c>
      <c r="B74" s="10">
        <f>B73*((1+(Inflation!B23-Inflation!B22)/Inflation!B22))</f>
        <v>22.02115858018794</v>
      </c>
      <c r="C74" s="10" t="e">
        <f>'Summary Sheet'!$B$11-'Summary Sheet'!$B$12</f>
        <v>#DIV/0!</v>
      </c>
      <c r="D74" t="e">
        <f>(B74*C74*'Summary Sheet'!$B$6)</f>
        <v>#DIV/0!</v>
      </c>
      <c r="N74">
        <v>2025</v>
      </c>
      <c r="O74" s="10">
        <f>O73*((1+(Inflation!B23-Inflation!B22)/Inflation!B22))</f>
        <v>22.02115858018794</v>
      </c>
      <c r="P74" s="10" t="e">
        <f>'Summary Sheet'!$C$11-'Summary Sheet'!$C$12</f>
        <v>#DIV/0!</v>
      </c>
      <c r="Q74" t="e">
        <f>(O74*P74)*'Summary Sheet'!$C$6</f>
        <v>#DIV/0!</v>
      </c>
      <c r="AA74">
        <v>2025</v>
      </c>
      <c r="AB74" s="10">
        <f>AB73*((1+(Inflation!B23-Inflation!B22)/Inflation!B22))</f>
        <v>22.02115858018794</v>
      </c>
      <c r="AC74" s="10" t="e">
        <f>'Summary Sheet'!$D$11-'Summary Sheet'!$D$12</f>
        <v>#DIV/0!</v>
      </c>
      <c r="AD74" t="e">
        <f>(AB74*AC74)*'Summary Sheet'!$D$6</f>
        <v>#DIV/0!</v>
      </c>
      <c r="AN74">
        <v>2025</v>
      </c>
      <c r="AO74" s="10">
        <f>AO73*((1+(Inflation!B23-Inflation!B22)/Inflation!B22))</f>
        <v>22.02115858018794</v>
      </c>
      <c r="AP74" s="10" t="e">
        <f>'Summary Sheet'!$E$11-'Summary Sheet'!$E$12</f>
        <v>#DIV/0!</v>
      </c>
      <c r="AQ74" t="e">
        <f>(AO74*AP74)*'Summary Sheet'!$E$6</f>
        <v>#DIV/0!</v>
      </c>
      <c r="BA74">
        <v>2025</v>
      </c>
      <c r="BB74" s="10">
        <f>BB73*((1+(Inflation!B23-Inflation!B22)/Inflation!B22))</f>
        <v>22.02115858018794</v>
      </c>
      <c r="BC74" s="10" t="e">
        <f>'Summary Sheet'!$F$11-'Summary Sheet'!$F$12</f>
        <v>#DIV/0!</v>
      </c>
      <c r="BD74" t="e">
        <f>(BB74*BC74)*'Summary Sheet'!$F$6</f>
        <v>#DIV/0!</v>
      </c>
      <c r="BN74">
        <v>2025</v>
      </c>
      <c r="BO74" s="10">
        <f>BO73*((1+(Inflation!B23-Inflation!B22)/Inflation!B22))</f>
        <v>22.02115858018794</v>
      </c>
      <c r="BP74" s="10" t="e">
        <f>'Summary Sheet'!$G$11-'Summary Sheet'!$G$12</f>
        <v>#DIV/0!</v>
      </c>
      <c r="BQ74" t="e">
        <f>(BO74*BP74)*'Summary Sheet'!$G$6</f>
        <v>#DIV/0!</v>
      </c>
    </row>
    <row r="75" spans="1:69" ht="12.75">
      <c r="A75">
        <v>2026</v>
      </c>
      <c r="B75" s="10">
        <f>B74*((1+(Inflation!B24-Inflation!B23)/Inflation!B23))</f>
        <v>22.47171533890988</v>
      </c>
      <c r="C75" s="10" t="e">
        <f>'Summary Sheet'!$B$11-'Summary Sheet'!$B$12</f>
        <v>#DIV/0!</v>
      </c>
      <c r="D75" t="e">
        <f>(B75*C75*'Summary Sheet'!$B$6)</f>
        <v>#DIV/0!</v>
      </c>
      <c r="N75">
        <v>2026</v>
      </c>
      <c r="O75" s="10">
        <f>O74*((1+(Inflation!B24-Inflation!B23)/Inflation!B23))</f>
        <v>22.47171533890988</v>
      </c>
      <c r="P75" s="10" t="e">
        <f>'Summary Sheet'!$C$11-'Summary Sheet'!$C$12</f>
        <v>#DIV/0!</v>
      </c>
      <c r="Q75" t="e">
        <f>(O75*P75)*'Summary Sheet'!$C$6</f>
        <v>#DIV/0!</v>
      </c>
      <c r="AA75">
        <v>2026</v>
      </c>
      <c r="AB75" s="10">
        <f>AB74*((1+(Inflation!B24-Inflation!B23)/Inflation!B23))</f>
        <v>22.47171533890988</v>
      </c>
      <c r="AC75" s="10" t="e">
        <f>'Summary Sheet'!$D$11-'Summary Sheet'!$D$12</f>
        <v>#DIV/0!</v>
      </c>
      <c r="AD75" t="e">
        <f>(AB75*AC75)*'Summary Sheet'!$D$6</f>
        <v>#DIV/0!</v>
      </c>
      <c r="AN75">
        <v>2026</v>
      </c>
      <c r="AO75" s="10">
        <f>AO74*((1+(Inflation!B24-Inflation!B23)/Inflation!B23))</f>
        <v>22.47171533890988</v>
      </c>
      <c r="AP75" s="10" t="e">
        <f>'Summary Sheet'!$E$11-'Summary Sheet'!$E$12</f>
        <v>#DIV/0!</v>
      </c>
      <c r="AQ75" t="e">
        <f>(AO75*AP75)*'Summary Sheet'!$E$6</f>
        <v>#DIV/0!</v>
      </c>
      <c r="BA75">
        <v>2026</v>
      </c>
      <c r="BB75" s="10">
        <f>BB74*((1+(Inflation!B24-Inflation!B23)/Inflation!B23))</f>
        <v>22.47171533890988</v>
      </c>
      <c r="BC75" s="10" t="e">
        <f>'Summary Sheet'!$F$11-'Summary Sheet'!$F$12</f>
        <v>#DIV/0!</v>
      </c>
      <c r="BD75" t="e">
        <f>(BB75*BC75)*'Summary Sheet'!$F$6</f>
        <v>#DIV/0!</v>
      </c>
      <c r="BN75">
        <v>2026</v>
      </c>
      <c r="BO75" s="10">
        <f>BO74*((1+(Inflation!B24-Inflation!B23)/Inflation!B23))</f>
        <v>22.47171533890988</v>
      </c>
      <c r="BP75" s="10" t="e">
        <f>'Summary Sheet'!$G$11-'Summary Sheet'!$G$12</f>
        <v>#DIV/0!</v>
      </c>
      <c r="BQ75" t="e">
        <f>(BO75*BP75)*'Summary Sheet'!$G$6</f>
        <v>#DIV/0!</v>
      </c>
    </row>
    <row r="76" spans="1:69" ht="12.75">
      <c r="A76">
        <v>2027</v>
      </c>
      <c r="B76" s="10">
        <f>B75*((1+(Inflation!B25-Inflation!B24)/Inflation!B24))</f>
        <v>22.93149056777229</v>
      </c>
      <c r="C76" s="10" t="e">
        <f>'Summary Sheet'!$B$11-'Summary Sheet'!$B$12</f>
        <v>#DIV/0!</v>
      </c>
      <c r="D76" t="e">
        <f>(B76*C76*'Summary Sheet'!$B$6)</f>
        <v>#DIV/0!</v>
      </c>
      <c r="N76">
        <v>2027</v>
      </c>
      <c r="O76" s="10">
        <f>O75*((1+(Inflation!B25-Inflation!B24)/Inflation!B24))</f>
        <v>22.93149056777229</v>
      </c>
      <c r="P76" s="10" t="e">
        <f>'Summary Sheet'!$C$11-'Summary Sheet'!$C$12</f>
        <v>#DIV/0!</v>
      </c>
      <c r="Q76" t="e">
        <f>(O76*P76)*'Summary Sheet'!$C$6</f>
        <v>#DIV/0!</v>
      </c>
      <c r="AA76">
        <v>2027</v>
      </c>
      <c r="AB76" s="10">
        <f>AB75*((1+(Inflation!B25-Inflation!B24)/Inflation!B24))</f>
        <v>22.93149056777229</v>
      </c>
      <c r="AC76" s="10" t="e">
        <f>'Summary Sheet'!$D$11-'Summary Sheet'!$D$12</f>
        <v>#DIV/0!</v>
      </c>
      <c r="AD76" t="e">
        <f>(AB76*AC76)*'Summary Sheet'!$D$6</f>
        <v>#DIV/0!</v>
      </c>
      <c r="AN76">
        <v>2027</v>
      </c>
      <c r="AO76" s="10">
        <f>AO75*((1+(Inflation!B25-Inflation!B24)/Inflation!B24))</f>
        <v>22.93149056777229</v>
      </c>
      <c r="AP76" s="10" t="e">
        <f>'Summary Sheet'!$E$11-'Summary Sheet'!$E$12</f>
        <v>#DIV/0!</v>
      </c>
      <c r="AQ76" t="e">
        <f>(AO76*AP76)*'Summary Sheet'!$E$6</f>
        <v>#DIV/0!</v>
      </c>
      <c r="BA76">
        <v>2027</v>
      </c>
      <c r="BB76" s="10">
        <f>BB75*((1+(Inflation!B25-Inflation!B24)/Inflation!B24))</f>
        <v>22.93149056777229</v>
      </c>
      <c r="BC76" s="10" t="e">
        <f>'Summary Sheet'!$F$11-'Summary Sheet'!$F$12</f>
        <v>#DIV/0!</v>
      </c>
      <c r="BD76" t="e">
        <f>(BB76*BC76)*'Summary Sheet'!$F$6</f>
        <v>#DIV/0!</v>
      </c>
      <c r="BN76">
        <v>2027</v>
      </c>
      <c r="BO76" s="10">
        <f>BO75*((1+(Inflation!B25-Inflation!B24)/Inflation!B24))</f>
        <v>22.93149056777229</v>
      </c>
      <c r="BP76" s="10" t="e">
        <f>'Summary Sheet'!$G$11-'Summary Sheet'!$G$12</f>
        <v>#DIV/0!</v>
      </c>
      <c r="BQ76" t="e">
        <f>(BO76*BP76)*'Summary Sheet'!$G$6</f>
        <v>#DIV/0!</v>
      </c>
    </row>
    <row r="77" spans="1:69" ht="12.75">
      <c r="A77">
        <v>2028</v>
      </c>
      <c r="B77" s="10">
        <f>B76*((1+(Inflation!B26-Inflation!B25)/Inflation!B25))</f>
        <v>23.400672878287672</v>
      </c>
      <c r="C77" s="10" t="e">
        <f>'Summary Sheet'!$B$11-'Summary Sheet'!$B$12</f>
        <v>#DIV/0!</v>
      </c>
      <c r="D77" t="e">
        <f>(B77*C77*'Summary Sheet'!$B$6)</f>
        <v>#DIV/0!</v>
      </c>
      <c r="N77">
        <v>2028</v>
      </c>
      <c r="O77" s="10">
        <f>O76*((1+(Inflation!B26-Inflation!B25)/Inflation!B25))</f>
        <v>23.400672878287672</v>
      </c>
      <c r="P77" s="10" t="e">
        <f>'Summary Sheet'!$C$11-'Summary Sheet'!$C$12</f>
        <v>#DIV/0!</v>
      </c>
      <c r="Q77" t="e">
        <f>(O77*P77)*'Summary Sheet'!$C$6</f>
        <v>#DIV/0!</v>
      </c>
      <c r="AA77">
        <v>2028</v>
      </c>
      <c r="AB77" s="10">
        <f>AB76*((1+(Inflation!B26-Inflation!B25)/Inflation!B25))</f>
        <v>23.400672878287672</v>
      </c>
      <c r="AC77" s="10" t="e">
        <f>'Summary Sheet'!$D$11-'Summary Sheet'!$D$12</f>
        <v>#DIV/0!</v>
      </c>
      <c r="AD77" t="e">
        <f>(AB77*AC77)*'Summary Sheet'!$D$6</f>
        <v>#DIV/0!</v>
      </c>
      <c r="AN77">
        <v>2028</v>
      </c>
      <c r="AO77" s="10">
        <f>AO76*((1+(Inflation!B26-Inflation!B25)/Inflation!B25))</f>
        <v>23.400672878287672</v>
      </c>
      <c r="AP77" s="10" t="e">
        <f>'Summary Sheet'!$E$11-'Summary Sheet'!$E$12</f>
        <v>#DIV/0!</v>
      </c>
      <c r="AQ77" t="e">
        <f>(AO77*AP77)*'Summary Sheet'!$E$6</f>
        <v>#DIV/0!</v>
      </c>
      <c r="BA77">
        <v>2028</v>
      </c>
      <c r="BB77" s="10">
        <f>BB76*((1+(Inflation!B26-Inflation!B25)/Inflation!B25))</f>
        <v>23.400672878287672</v>
      </c>
      <c r="BC77" s="10" t="e">
        <f>'Summary Sheet'!$F$11-'Summary Sheet'!$F$12</f>
        <v>#DIV/0!</v>
      </c>
      <c r="BD77" t="e">
        <f>(BB77*BC77)*'Summary Sheet'!$F$6</f>
        <v>#DIV/0!</v>
      </c>
      <c r="BN77">
        <v>2028</v>
      </c>
      <c r="BO77" s="10">
        <f>BO76*((1+(Inflation!B26-Inflation!B25)/Inflation!B25))</f>
        <v>23.400672878287672</v>
      </c>
      <c r="BP77" s="10" t="e">
        <f>'Summary Sheet'!$G$11-'Summary Sheet'!$G$12</f>
        <v>#DIV/0!</v>
      </c>
      <c r="BQ77" t="e">
        <f>(BO77*BP77)*'Summary Sheet'!$G$6</f>
        <v>#DIV/0!</v>
      </c>
    </row>
    <row r="79" spans="3:69" ht="12.75">
      <c r="C79" t="s">
        <v>170</v>
      </c>
      <c r="D79" t="e">
        <f>SUM(D58:D77)</f>
        <v>#DIV/0!</v>
      </c>
      <c r="P79" t="s">
        <v>170</v>
      </c>
      <c r="Q79" t="e">
        <f>SUM(Q58:Q77)</f>
        <v>#DIV/0!</v>
      </c>
      <c r="AC79" t="s">
        <v>170</v>
      </c>
      <c r="AD79" t="e">
        <f>SUM(AD58:AD77)</f>
        <v>#DIV/0!</v>
      </c>
      <c r="AP79" t="s">
        <v>170</v>
      </c>
      <c r="AQ79" t="e">
        <f>SUM(AQ58:AQ77)</f>
        <v>#DIV/0!</v>
      </c>
      <c r="BC79" t="s">
        <v>170</v>
      </c>
      <c r="BD79" t="e">
        <f>SUM(BD58:BD77)</f>
        <v>#DIV/0!</v>
      </c>
      <c r="BP79" t="s">
        <v>170</v>
      </c>
      <c r="BQ79" t="e">
        <f>SUM(BQ58:BQ77)</f>
        <v>#DIV/0!</v>
      </c>
    </row>
    <row r="80" spans="3:69" ht="12.75">
      <c r="C80" t="s">
        <v>174</v>
      </c>
      <c r="D80" s="8" t="e">
        <f>NPV('Summary Sheet'!$B$67,D58:D77)</f>
        <v>#DIV/0!</v>
      </c>
      <c r="P80" t="s">
        <v>174</v>
      </c>
      <c r="Q80" s="8" t="e">
        <f>NPV('Summary Sheet'!$C$67,Q58:Q77)</f>
        <v>#DIV/0!</v>
      </c>
      <c r="AC80" t="s">
        <v>174</v>
      </c>
      <c r="AD80" s="8" t="e">
        <f>NPV('Summary Sheet'!$D$67,AD58:AD77)</f>
        <v>#DIV/0!</v>
      </c>
      <c r="AP80" t="s">
        <v>174</v>
      </c>
      <c r="AQ80" s="8" t="e">
        <f>NPV('Summary Sheet'!$E$67,AQ58:AQ77)</f>
        <v>#DIV/0!</v>
      </c>
      <c r="BC80" t="s">
        <v>174</v>
      </c>
      <c r="BD80" s="8" t="e">
        <f>NPV('Summary Sheet'!$F$67,BD58:BD77)</f>
        <v>#DIV/0!</v>
      </c>
      <c r="BP80" t="s">
        <v>174</v>
      </c>
      <c r="BQ80" s="8" t="e">
        <f>NPV('Summary Sheet'!$G$67,BQ58:BQ77)</f>
        <v>#DIV/0!</v>
      </c>
    </row>
    <row r="83" spans="1:75" s="12" customFormat="1" ht="12.75">
      <c r="A83" s="246" t="s">
        <v>740</v>
      </c>
      <c r="B83" s="245"/>
      <c r="C83" s="245"/>
      <c r="D83" s="245"/>
      <c r="E83" s="245"/>
      <c r="F83" s="245"/>
      <c r="G83" s="245"/>
      <c r="H83" s="245"/>
      <c r="I83" s="245"/>
      <c r="J83" s="245"/>
      <c r="N83" s="246" t="s">
        <v>740</v>
      </c>
      <c r="O83" s="245"/>
      <c r="P83" s="245"/>
      <c r="Q83" s="245"/>
      <c r="R83" s="245"/>
      <c r="S83" s="245"/>
      <c r="T83" s="245"/>
      <c r="U83" s="245"/>
      <c r="V83" s="245"/>
      <c r="W83" s="245"/>
      <c r="AA83" s="246" t="s">
        <v>740</v>
      </c>
      <c r="AB83" s="245"/>
      <c r="AC83" s="245"/>
      <c r="AD83" s="245"/>
      <c r="AE83" s="245"/>
      <c r="AF83" s="245"/>
      <c r="AG83" s="245"/>
      <c r="AH83" s="245"/>
      <c r="AI83" s="245"/>
      <c r="AJ83" s="245"/>
      <c r="AN83" s="246" t="s">
        <v>740</v>
      </c>
      <c r="AO83" s="245"/>
      <c r="AP83" s="245"/>
      <c r="AQ83" s="245"/>
      <c r="AR83" s="245"/>
      <c r="AS83" s="245"/>
      <c r="AT83" s="245"/>
      <c r="AU83" s="245"/>
      <c r="AV83" s="245"/>
      <c r="AW83" s="245"/>
      <c r="BA83" s="246" t="s">
        <v>740</v>
      </c>
      <c r="BB83" s="245"/>
      <c r="BC83" s="245"/>
      <c r="BD83" s="245"/>
      <c r="BE83" s="245"/>
      <c r="BF83" s="245"/>
      <c r="BG83" s="245"/>
      <c r="BH83" s="245"/>
      <c r="BI83" s="245"/>
      <c r="BJ83" s="245"/>
      <c r="BN83" s="246" t="s">
        <v>740</v>
      </c>
      <c r="BO83" s="245"/>
      <c r="BP83" s="245"/>
      <c r="BQ83" s="245"/>
      <c r="BR83" s="245"/>
      <c r="BS83" s="245"/>
      <c r="BT83" s="245"/>
      <c r="BU83" s="245"/>
      <c r="BV83" s="245"/>
      <c r="BW83" s="245"/>
    </row>
    <row r="84" spans="1:76" ht="38.25">
      <c r="A84" s="7" t="s">
        <v>159</v>
      </c>
      <c r="B84" s="125" t="s">
        <v>810</v>
      </c>
      <c r="C84" s="125" t="s">
        <v>811</v>
      </c>
      <c r="D84" s="7" t="s">
        <v>795</v>
      </c>
      <c r="E84" s="7" t="s">
        <v>802</v>
      </c>
      <c r="F84" s="7" t="s">
        <v>796</v>
      </c>
      <c r="G84" s="7" t="s">
        <v>803</v>
      </c>
      <c r="H84" s="7" t="s">
        <v>797</v>
      </c>
      <c r="I84" s="7" t="s">
        <v>804</v>
      </c>
      <c r="J84" s="7" t="s">
        <v>186</v>
      </c>
      <c r="K84" s="7"/>
      <c r="N84" s="7" t="s">
        <v>159</v>
      </c>
      <c r="O84" s="125" t="s">
        <v>810</v>
      </c>
      <c r="P84" s="125" t="s">
        <v>811</v>
      </c>
      <c r="Q84" s="7" t="s">
        <v>795</v>
      </c>
      <c r="R84" s="7" t="s">
        <v>802</v>
      </c>
      <c r="S84" s="7" t="s">
        <v>796</v>
      </c>
      <c r="T84" s="7" t="s">
        <v>803</v>
      </c>
      <c r="U84" s="7" t="s">
        <v>797</v>
      </c>
      <c r="V84" s="7" t="s">
        <v>804</v>
      </c>
      <c r="W84" s="7" t="s">
        <v>186</v>
      </c>
      <c r="X84" s="7"/>
      <c r="Y84" s="7"/>
      <c r="Z84" s="7"/>
      <c r="AA84" s="7" t="s">
        <v>159</v>
      </c>
      <c r="AB84" s="125" t="s">
        <v>810</v>
      </c>
      <c r="AC84" s="125" t="s">
        <v>811</v>
      </c>
      <c r="AD84" s="7" t="s">
        <v>795</v>
      </c>
      <c r="AE84" s="7" t="s">
        <v>802</v>
      </c>
      <c r="AF84" s="7" t="s">
        <v>796</v>
      </c>
      <c r="AG84" s="7" t="s">
        <v>803</v>
      </c>
      <c r="AH84" s="7" t="s">
        <v>797</v>
      </c>
      <c r="AI84" s="7" t="s">
        <v>804</v>
      </c>
      <c r="AJ84" s="7" t="s">
        <v>186</v>
      </c>
      <c r="AK84" s="7"/>
      <c r="AN84" s="7" t="s">
        <v>159</v>
      </c>
      <c r="AO84" s="125" t="s">
        <v>810</v>
      </c>
      <c r="AP84" s="125" t="s">
        <v>811</v>
      </c>
      <c r="AQ84" s="7" t="s">
        <v>795</v>
      </c>
      <c r="AR84" s="7" t="s">
        <v>802</v>
      </c>
      <c r="AS84" s="7" t="s">
        <v>796</v>
      </c>
      <c r="AT84" s="7" t="s">
        <v>803</v>
      </c>
      <c r="AU84" s="7" t="s">
        <v>797</v>
      </c>
      <c r="AV84" s="7" t="s">
        <v>804</v>
      </c>
      <c r="AW84" s="7" t="s">
        <v>186</v>
      </c>
      <c r="AX84" s="7"/>
      <c r="BA84" s="7" t="s">
        <v>159</v>
      </c>
      <c r="BB84" s="125" t="s">
        <v>810</v>
      </c>
      <c r="BC84" s="125" t="s">
        <v>811</v>
      </c>
      <c r="BD84" s="7" t="s">
        <v>795</v>
      </c>
      <c r="BE84" s="7" t="s">
        <v>802</v>
      </c>
      <c r="BF84" s="7" t="s">
        <v>796</v>
      </c>
      <c r="BG84" s="7" t="s">
        <v>803</v>
      </c>
      <c r="BH84" s="7" t="s">
        <v>797</v>
      </c>
      <c r="BI84" s="7" t="s">
        <v>804</v>
      </c>
      <c r="BJ84" s="7" t="s">
        <v>186</v>
      </c>
      <c r="BK84" s="7"/>
      <c r="BN84" s="7" t="s">
        <v>159</v>
      </c>
      <c r="BO84" s="125" t="s">
        <v>810</v>
      </c>
      <c r="BP84" s="125" t="s">
        <v>811</v>
      </c>
      <c r="BQ84" s="7" t="s">
        <v>795</v>
      </c>
      <c r="BR84" s="7" t="s">
        <v>802</v>
      </c>
      <c r="BS84" s="7" t="s">
        <v>796</v>
      </c>
      <c r="BT84" s="7" t="s">
        <v>803</v>
      </c>
      <c r="BU84" s="7" t="s">
        <v>797</v>
      </c>
      <c r="BV84" s="7" t="s">
        <v>804</v>
      </c>
      <c r="BW84" s="7" t="s">
        <v>186</v>
      </c>
      <c r="BX84" s="7"/>
    </row>
    <row r="85" spans="1:76" ht="12.75">
      <c r="A85">
        <v>2009</v>
      </c>
      <c r="B85" s="227">
        <f>'Summary Sheet'!$B$8</f>
        <v>0</v>
      </c>
      <c r="C85" s="10">
        <f>'Summary Sheet'!$B$23</f>
        <v>0</v>
      </c>
      <c r="D85" s="224">
        <f>'Emission Prices'!$F7</f>
        <v>3.32</v>
      </c>
      <c r="E85" s="226">
        <f>(((B85*$K$114)/2000)*D85)</f>
        <v>0</v>
      </c>
      <c r="F85" s="224">
        <f>'Emission Prices'!$D7</f>
        <v>2906.6280588195395</v>
      </c>
      <c r="G85" s="226">
        <f>(((B85*$K$115)/2000)*F85)+(((C85*$L$115)/2000)*F85)</f>
        <v>0</v>
      </c>
      <c r="H85" s="224">
        <f>'Emission Prices'!$B7</f>
        <v>83.70909390662095</v>
      </c>
      <c r="I85" s="226">
        <f>((B85*$K$116)/2000)*H85</f>
        <v>0</v>
      </c>
      <c r="J85" s="226">
        <f>E85+G85+I85</f>
        <v>0</v>
      </c>
      <c r="K85" s="225"/>
      <c r="N85">
        <v>2009</v>
      </c>
      <c r="O85" s="227">
        <f>'Summary Sheet'!$C$8</f>
        <v>0</v>
      </c>
      <c r="P85" s="10">
        <f>'Summary Sheet'!$C$23</f>
        <v>0</v>
      </c>
      <c r="Q85" s="224">
        <v>0</v>
      </c>
      <c r="R85" s="226">
        <v>0</v>
      </c>
      <c r="S85" s="224">
        <v>0</v>
      </c>
      <c r="T85" s="226">
        <v>0</v>
      </c>
      <c r="U85" s="224">
        <v>0</v>
      </c>
      <c r="V85" s="226">
        <v>0</v>
      </c>
      <c r="W85" s="226">
        <v>0</v>
      </c>
      <c r="X85" s="225"/>
      <c r="AA85">
        <v>2009</v>
      </c>
      <c r="AB85" s="227">
        <f>'Summary Sheet'!$D$8</f>
        <v>0</v>
      </c>
      <c r="AC85" s="10">
        <f>'Summary Sheet'!$D$23</f>
        <v>0</v>
      </c>
      <c r="AD85" s="224">
        <f>'Emission Prices'!$F7</f>
        <v>3.32</v>
      </c>
      <c r="AE85" s="226">
        <f>(((AB85*$K$114)/2000)*AD85)</f>
        <v>0</v>
      </c>
      <c r="AF85" s="224">
        <f>'Emission Prices'!$D7</f>
        <v>2906.6280588195395</v>
      </c>
      <c r="AG85" s="226">
        <f>(((AB85*$K$115)/2000)*AF85)+(((AC85*$L$115)/2000)*AF85)</f>
        <v>0</v>
      </c>
      <c r="AH85" s="224">
        <f>'Emission Prices'!$B7</f>
        <v>83.70909390662095</v>
      </c>
      <c r="AI85" s="226">
        <f>((AB85*$K$116)/2000)*AH85</f>
        <v>0</v>
      </c>
      <c r="AJ85" s="226">
        <f>AE85+AG85+AI85</f>
        <v>0</v>
      </c>
      <c r="AK85" s="225"/>
      <c r="AN85">
        <v>2009</v>
      </c>
      <c r="AO85" s="227">
        <f>'Summary Sheet'!$E$8</f>
        <v>0</v>
      </c>
      <c r="AP85" s="10">
        <f>'Summary Sheet'!$E$23</f>
        <v>0</v>
      </c>
      <c r="AQ85" s="224">
        <f>'Emission Prices'!$F7</f>
        <v>3.32</v>
      </c>
      <c r="AR85" s="226">
        <f>(((AO85*$K$114)/2000)*AQ85)</f>
        <v>0</v>
      </c>
      <c r="AS85" s="224">
        <f>'Emission Prices'!$D7</f>
        <v>2906.6280588195395</v>
      </c>
      <c r="AT85" s="226">
        <f>(((AO85*$K$115)/2000)*AS85)+(((AP85*$L$115)/2000)*AS85)</f>
        <v>0</v>
      </c>
      <c r="AU85" s="224">
        <f>'Emission Prices'!$B7</f>
        <v>83.70909390662095</v>
      </c>
      <c r="AV85" s="226">
        <f>((AO85*$K$116)/2000)*AU85</f>
        <v>0</v>
      </c>
      <c r="AW85" s="226">
        <f>AR85+AT85+AV85</f>
        <v>0</v>
      </c>
      <c r="AX85" s="225"/>
      <c r="BA85">
        <v>2009</v>
      </c>
      <c r="BB85" s="227">
        <f>'Summary Sheet'!$F$8</f>
        <v>0</v>
      </c>
      <c r="BC85" s="10">
        <f>'Summary Sheet'!$F$23</f>
        <v>0</v>
      </c>
      <c r="BD85" s="224">
        <f>'Emission Prices'!$F7</f>
        <v>3.32</v>
      </c>
      <c r="BE85" s="226">
        <f>(((BB85*$K$114)/2000)*BD85)</f>
        <v>0</v>
      </c>
      <c r="BF85" s="224">
        <f>'Emission Prices'!$D7</f>
        <v>2906.6280588195395</v>
      </c>
      <c r="BG85" s="226">
        <f>(((BB85*$K$115)/2000)*BF85)+(((BC85*$L$115)/2000)*BF85)</f>
        <v>0</v>
      </c>
      <c r="BH85" s="224">
        <f>'Emission Prices'!$B7</f>
        <v>83.70909390662095</v>
      </c>
      <c r="BI85" s="226">
        <f>((BB85*$K$116)/2000)*BH85</f>
        <v>0</v>
      </c>
      <c r="BJ85" s="226">
        <f>BE85+BG85+BI85</f>
        <v>0</v>
      </c>
      <c r="BK85" s="225"/>
      <c r="BN85">
        <v>2009</v>
      </c>
      <c r="BO85" s="227">
        <f>'Summary Sheet'!$G$8</f>
        <v>0</v>
      </c>
      <c r="BP85" s="10">
        <f>'Summary Sheet'!$G$23</f>
        <v>0</v>
      </c>
      <c r="BQ85" s="224">
        <f>'Emission Prices'!$F7</f>
        <v>3.32</v>
      </c>
      <c r="BR85" s="226">
        <f>(((BO85*$K$114)/2000)*BQ85)</f>
        <v>0</v>
      </c>
      <c r="BS85" s="224">
        <f>'Emission Prices'!$D7</f>
        <v>2906.6280588195395</v>
      </c>
      <c r="BT85" s="226">
        <f>(((BO85*$K$115)/2000)*BS85)+(((BP85*$L$115)/2000)*BS85)</f>
        <v>0</v>
      </c>
      <c r="BU85" s="224">
        <f>'Emission Prices'!$B7</f>
        <v>83.70909390662095</v>
      </c>
      <c r="BV85" s="226">
        <f>((BO85*$K$116)/2000)*BU85</f>
        <v>0</v>
      </c>
      <c r="BW85" s="226">
        <f>BR85+BT85+BV85</f>
        <v>0</v>
      </c>
      <c r="BX85" s="225"/>
    </row>
    <row r="86" spans="1:76" ht="12.75">
      <c r="A86">
        <v>2010</v>
      </c>
      <c r="B86" s="227">
        <f>'Summary Sheet'!$B$8</f>
        <v>0</v>
      </c>
      <c r="C86" s="10">
        <f>'Summary Sheet'!$B$23</f>
        <v>0</v>
      </c>
      <c r="D86" s="224">
        <f>'Emission Prices'!$F8</f>
        <v>3.313333333333333</v>
      </c>
      <c r="E86" s="226">
        <f aca="true" t="shared" si="0" ref="E86:E104">(((B86*$K$114)/2000)*D86)</f>
        <v>0</v>
      </c>
      <c r="F86" s="224">
        <f>'Emission Prices'!$D8</f>
        <v>2027.8844456352197</v>
      </c>
      <c r="G86" s="226">
        <f aca="true" t="shared" si="1" ref="G86:G104">(((B86*$K$115)/2000)*F86)+(((C86*$L$115)/2000)*F86)</f>
        <v>0</v>
      </c>
      <c r="H86" s="224">
        <f>'Emission Prices'!$B8</f>
        <v>103.69966887417218</v>
      </c>
      <c r="I86" s="226">
        <f aca="true" t="shared" si="2" ref="I86:I104">((B86*$K$116)/2000)*H86</f>
        <v>0</v>
      </c>
      <c r="J86" s="226">
        <f aca="true" t="shared" si="3" ref="J86:J104">E86+G86+I86</f>
        <v>0</v>
      </c>
      <c r="K86" s="225"/>
      <c r="N86">
        <v>2010</v>
      </c>
      <c r="O86" s="227">
        <f>'Summary Sheet'!$C$8</f>
        <v>0</v>
      </c>
      <c r="P86" s="10">
        <f>'Summary Sheet'!$C$23</f>
        <v>0</v>
      </c>
      <c r="Q86" s="224">
        <f>'Emission Prices'!$F8</f>
        <v>3.313333333333333</v>
      </c>
      <c r="R86" s="226">
        <f aca="true" t="shared" si="4" ref="R86:R104">(((O86*$K$114)/2000)*Q86)</f>
        <v>0</v>
      </c>
      <c r="S86" s="224">
        <f>'Emission Prices'!$D8</f>
        <v>2027.8844456352197</v>
      </c>
      <c r="T86" s="226">
        <f aca="true" t="shared" si="5" ref="T86:T104">(((O86*$K$115)/2000)*S86)+(((P86*$L$115)/2000)*S86)</f>
        <v>0</v>
      </c>
      <c r="U86" s="224">
        <f>'Emission Prices'!$B8</f>
        <v>103.69966887417218</v>
      </c>
      <c r="V86" s="226">
        <f aca="true" t="shared" si="6" ref="V86:V104">((O86*$K$116)/2000)*U86</f>
        <v>0</v>
      </c>
      <c r="W86" s="226">
        <f aca="true" t="shared" si="7" ref="W86:W104">R86+T86+V86</f>
        <v>0</v>
      </c>
      <c r="X86" s="225"/>
      <c r="AA86">
        <v>2010</v>
      </c>
      <c r="AB86" s="227">
        <f>'Summary Sheet'!$D$8</f>
        <v>0</v>
      </c>
      <c r="AC86" s="10">
        <f>'Summary Sheet'!$D$23</f>
        <v>0</v>
      </c>
      <c r="AD86" s="224">
        <f>'Emission Prices'!$F8</f>
        <v>3.313333333333333</v>
      </c>
      <c r="AE86" s="226">
        <f aca="true" t="shared" si="8" ref="AE86:AE104">(((AB86*$K$114)/2000)*AD86)</f>
        <v>0</v>
      </c>
      <c r="AF86" s="224">
        <f>'Emission Prices'!$D8</f>
        <v>2027.8844456352197</v>
      </c>
      <c r="AG86" s="226">
        <f aca="true" t="shared" si="9" ref="AG86:AG104">(((AB86*$K$115)/2000)*AF86)+(((AC86*$L$115)/2000)*AF86)</f>
        <v>0</v>
      </c>
      <c r="AH86" s="224">
        <f>'Emission Prices'!$B8</f>
        <v>103.69966887417218</v>
      </c>
      <c r="AI86" s="226">
        <f aca="true" t="shared" si="10" ref="AI86:AI104">((AB86*$K$116)/2000)*AH86</f>
        <v>0</v>
      </c>
      <c r="AJ86" s="226">
        <f aca="true" t="shared" si="11" ref="AJ86:AJ104">AE86+AG86+AI86</f>
        <v>0</v>
      </c>
      <c r="AK86" s="225"/>
      <c r="AN86">
        <v>2010</v>
      </c>
      <c r="AO86" s="227">
        <f>'Summary Sheet'!$E$8</f>
        <v>0</v>
      </c>
      <c r="AP86" s="10">
        <f>'Summary Sheet'!$E$23</f>
        <v>0</v>
      </c>
      <c r="AQ86" s="224">
        <f>'Emission Prices'!$F8</f>
        <v>3.313333333333333</v>
      </c>
      <c r="AR86" s="226">
        <f aca="true" t="shared" si="12" ref="AR86:AR104">(((AO86*$K$114)/2000)*AQ86)</f>
        <v>0</v>
      </c>
      <c r="AS86" s="224">
        <f>'Emission Prices'!$D8</f>
        <v>2027.8844456352197</v>
      </c>
      <c r="AT86" s="226">
        <f aca="true" t="shared" si="13" ref="AT86:AT104">(((AO86*$K$115)/2000)*AS86)+(((AP86*$L$115)/2000)*AS86)</f>
        <v>0</v>
      </c>
      <c r="AU86" s="224">
        <f>'Emission Prices'!$B8</f>
        <v>103.69966887417218</v>
      </c>
      <c r="AV86" s="226">
        <f aca="true" t="shared" si="14" ref="AV86:AV104">((AO86*$K$116)/2000)*AU86</f>
        <v>0</v>
      </c>
      <c r="AW86" s="226">
        <f aca="true" t="shared" si="15" ref="AW86:AW104">AR86+AT86+AV86</f>
        <v>0</v>
      </c>
      <c r="AX86" s="225"/>
      <c r="BA86">
        <v>2010</v>
      </c>
      <c r="BB86" s="227">
        <f>'Summary Sheet'!$F$8</f>
        <v>0</v>
      </c>
      <c r="BC86" s="10">
        <f>'Summary Sheet'!$F$23</f>
        <v>0</v>
      </c>
      <c r="BD86" s="224">
        <f>'Emission Prices'!$F8</f>
        <v>3.313333333333333</v>
      </c>
      <c r="BE86" s="226">
        <f aca="true" t="shared" si="16" ref="BE86:BE104">(((BB86*$K$114)/2000)*BD86)</f>
        <v>0</v>
      </c>
      <c r="BF86" s="224">
        <f>'Emission Prices'!$D8</f>
        <v>2027.8844456352197</v>
      </c>
      <c r="BG86" s="226">
        <f aca="true" t="shared" si="17" ref="BG86:BG104">(((BB86*$K$115)/2000)*BF86)+(((BC86*$L$115)/2000)*BF86)</f>
        <v>0</v>
      </c>
      <c r="BH86" s="224">
        <f>'Emission Prices'!$B8</f>
        <v>103.69966887417218</v>
      </c>
      <c r="BI86" s="226">
        <f aca="true" t="shared" si="18" ref="BI86:BI104">((BB86*$K$116)/2000)*BH86</f>
        <v>0</v>
      </c>
      <c r="BJ86" s="226">
        <f aca="true" t="shared" si="19" ref="BJ86:BJ104">BE86+BG86+BI86</f>
        <v>0</v>
      </c>
      <c r="BK86" s="225"/>
      <c r="BN86">
        <v>2010</v>
      </c>
      <c r="BO86" s="227">
        <f>'Summary Sheet'!$G$8</f>
        <v>0</v>
      </c>
      <c r="BP86" s="10">
        <f>'Summary Sheet'!$G$23</f>
        <v>0</v>
      </c>
      <c r="BQ86" s="224">
        <f>'Emission Prices'!$F8</f>
        <v>3.313333333333333</v>
      </c>
      <c r="BR86" s="226">
        <f aca="true" t="shared" si="20" ref="BR86:BR104">(((BO86*$K$114)/2000)*BQ86)</f>
        <v>0</v>
      </c>
      <c r="BS86" s="224">
        <f>'Emission Prices'!$D8</f>
        <v>2027.8844456352197</v>
      </c>
      <c r="BT86" s="226">
        <f aca="true" t="shared" si="21" ref="BT86:BT104">(((BO86*$K$115)/2000)*BS86)+(((BP86*$L$115)/2000)*BS86)</f>
        <v>0</v>
      </c>
      <c r="BU86" s="224">
        <f>'Emission Prices'!$B8</f>
        <v>103.69966887417218</v>
      </c>
      <c r="BV86" s="226">
        <f aca="true" t="shared" si="22" ref="BV86:BV104">((BO86*$K$116)/2000)*BU86</f>
        <v>0</v>
      </c>
      <c r="BW86" s="226">
        <f aca="true" t="shared" si="23" ref="BW86:BW104">BR86+BT86+BV86</f>
        <v>0</v>
      </c>
      <c r="BX86" s="225"/>
    </row>
    <row r="87" spans="1:76" ht="12.75">
      <c r="A87">
        <v>2011</v>
      </c>
      <c r="B87" s="227">
        <f>'Summary Sheet'!$B$8</f>
        <v>0</v>
      </c>
      <c r="C87" s="10">
        <f>'Summary Sheet'!$B$23</f>
        <v>0</v>
      </c>
      <c r="D87" s="224">
        <f>'Emission Prices'!$F9</f>
        <v>3.306680053547523</v>
      </c>
      <c r="E87" s="226">
        <f t="shared" si="0"/>
        <v>0</v>
      </c>
      <c r="F87" s="224">
        <f>'Emission Prices'!$D9</f>
        <v>1453.435901896015</v>
      </c>
      <c r="G87" s="226">
        <f t="shared" si="1"/>
        <v>0</v>
      </c>
      <c r="H87" s="224">
        <f>'Emission Prices'!$B9</f>
        <v>152.7688394593786</v>
      </c>
      <c r="I87" s="226">
        <f t="shared" si="2"/>
        <v>0</v>
      </c>
      <c r="J87" s="226">
        <f t="shared" si="3"/>
        <v>0</v>
      </c>
      <c r="K87" s="225"/>
      <c r="N87">
        <v>2011</v>
      </c>
      <c r="O87" s="227">
        <f>'Summary Sheet'!$C$8</f>
        <v>0</v>
      </c>
      <c r="P87" s="10">
        <f>'Summary Sheet'!$C$23</f>
        <v>0</v>
      </c>
      <c r="Q87" s="224">
        <f>'Emission Prices'!$F9</f>
        <v>3.306680053547523</v>
      </c>
      <c r="R87" s="226">
        <f t="shared" si="4"/>
        <v>0</v>
      </c>
      <c r="S87" s="224">
        <f>'Emission Prices'!$D9</f>
        <v>1453.435901896015</v>
      </c>
      <c r="T87" s="226">
        <f t="shared" si="5"/>
        <v>0</v>
      </c>
      <c r="U87" s="224">
        <f>'Emission Prices'!$B9</f>
        <v>152.7688394593786</v>
      </c>
      <c r="V87" s="226">
        <f t="shared" si="6"/>
        <v>0</v>
      </c>
      <c r="W87" s="226">
        <f t="shared" si="7"/>
        <v>0</v>
      </c>
      <c r="X87" s="225"/>
      <c r="AA87">
        <v>2011</v>
      </c>
      <c r="AB87" s="227">
        <f>'Summary Sheet'!$D$8</f>
        <v>0</v>
      </c>
      <c r="AC87" s="10">
        <f>'Summary Sheet'!$D$23</f>
        <v>0</v>
      </c>
      <c r="AD87" s="224">
        <f>'Emission Prices'!$F9</f>
        <v>3.306680053547523</v>
      </c>
      <c r="AE87" s="226">
        <f t="shared" si="8"/>
        <v>0</v>
      </c>
      <c r="AF87" s="224">
        <f>'Emission Prices'!$D9</f>
        <v>1453.435901896015</v>
      </c>
      <c r="AG87" s="226">
        <f t="shared" si="9"/>
        <v>0</v>
      </c>
      <c r="AH87" s="224">
        <f>'Emission Prices'!$B9</f>
        <v>152.7688394593786</v>
      </c>
      <c r="AI87" s="226">
        <f t="shared" si="10"/>
        <v>0</v>
      </c>
      <c r="AJ87" s="226">
        <f t="shared" si="11"/>
        <v>0</v>
      </c>
      <c r="AK87" s="225"/>
      <c r="AN87">
        <v>2011</v>
      </c>
      <c r="AO87" s="227">
        <f>'Summary Sheet'!$E$8</f>
        <v>0</v>
      </c>
      <c r="AP87" s="10">
        <f>'Summary Sheet'!$E$23</f>
        <v>0</v>
      </c>
      <c r="AQ87" s="224">
        <f>'Emission Prices'!$F9</f>
        <v>3.306680053547523</v>
      </c>
      <c r="AR87" s="226">
        <f t="shared" si="12"/>
        <v>0</v>
      </c>
      <c r="AS87" s="224">
        <f>'Emission Prices'!$D9</f>
        <v>1453.435901896015</v>
      </c>
      <c r="AT87" s="226">
        <f t="shared" si="13"/>
        <v>0</v>
      </c>
      <c r="AU87" s="224">
        <f>'Emission Prices'!$B9</f>
        <v>152.7688394593786</v>
      </c>
      <c r="AV87" s="226">
        <f t="shared" si="14"/>
        <v>0</v>
      </c>
      <c r="AW87" s="226">
        <f t="shared" si="15"/>
        <v>0</v>
      </c>
      <c r="AX87" s="225"/>
      <c r="BA87">
        <v>2011</v>
      </c>
      <c r="BB87" s="227">
        <f>'Summary Sheet'!$F$8</f>
        <v>0</v>
      </c>
      <c r="BC87" s="10">
        <f>'Summary Sheet'!$F$23</f>
        <v>0</v>
      </c>
      <c r="BD87" s="224">
        <f>'Emission Prices'!$F9</f>
        <v>3.306680053547523</v>
      </c>
      <c r="BE87" s="226">
        <f t="shared" si="16"/>
        <v>0</v>
      </c>
      <c r="BF87" s="224">
        <f>'Emission Prices'!$D9</f>
        <v>1453.435901896015</v>
      </c>
      <c r="BG87" s="226">
        <f t="shared" si="17"/>
        <v>0</v>
      </c>
      <c r="BH87" s="224">
        <f>'Emission Prices'!$B9</f>
        <v>152.7688394593786</v>
      </c>
      <c r="BI87" s="226">
        <f t="shared" si="18"/>
        <v>0</v>
      </c>
      <c r="BJ87" s="226">
        <f t="shared" si="19"/>
        <v>0</v>
      </c>
      <c r="BK87" s="225"/>
      <c r="BN87">
        <v>2011</v>
      </c>
      <c r="BO87" s="227">
        <f>'Summary Sheet'!$G$8</f>
        <v>0</v>
      </c>
      <c r="BP87" s="10">
        <f>'Summary Sheet'!$G$23</f>
        <v>0</v>
      </c>
      <c r="BQ87" s="224">
        <f>'Emission Prices'!$F9</f>
        <v>3.306680053547523</v>
      </c>
      <c r="BR87" s="226">
        <f t="shared" si="20"/>
        <v>0</v>
      </c>
      <c r="BS87" s="224">
        <f>'Emission Prices'!$D9</f>
        <v>1453.435901896015</v>
      </c>
      <c r="BT87" s="226">
        <f t="shared" si="21"/>
        <v>0</v>
      </c>
      <c r="BU87" s="224">
        <f>'Emission Prices'!$B9</f>
        <v>152.7688394593786</v>
      </c>
      <c r="BV87" s="226">
        <f t="shared" si="22"/>
        <v>0</v>
      </c>
      <c r="BW87" s="226">
        <f t="shared" si="23"/>
        <v>0</v>
      </c>
      <c r="BX87" s="225"/>
    </row>
    <row r="88" spans="1:76" ht="12.75">
      <c r="A88">
        <v>2012</v>
      </c>
      <c r="B88" s="227">
        <f>'Summary Sheet'!$B$8</f>
        <v>0</v>
      </c>
      <c r="C88" s="10">
        <f>'Summary Sheet'!$B$23</f>
        <v>0</v>
      </c>
      <c r="D88" s="224">
        <f>'Emission Prices'!$F10</f>
        <v>3.3</v>
      </c>
      <c r="E88" s="226">
        <f t="shared" si="0"/>
        <v>0</v>
      </c>
      <c r="F88" s="224">
        <f>'Emission Prices'!$D10</f>
        <v>1105.7268409076883</v>
      </c>
      <c r="G88" s="226">
        <f t="shared" si="1"/>
        <v>0</v>
      </c>
      <c r="H88" s="224">
        <f>'Emission Prices'!$B10</f>
        <v>349.3062327813775</v>
      </c>
      <c r="I88" s="226">
        <f t="shared" si="2"/>
        <v>0</v>
      </c>
      <c r="J88" s="226">
        <f t="shared" si="3"/>
        <v>0</v>
      </c>
      <c r="K88" s="225"/>
      <c r="N88">
        <v>2012</v>
      </c>
      <c r="O88" s="227">
        <f>'Summary Sheet'!$C$8</f>
        <v>0</v>
      </c>
      <c r="P88" s="10">
        <f>'Summary Sheet'!$C$23</f>
        <v>0</v>
      </c>
      <c r="Q88" s="224">
        <f>'Emission Prices'!$F10</f>
        <v>3.3</v>
      </c>
      <c r="R88" s="226">
        <f t="shared" si="4"/>
        <v>0</v>
      </c>
      <c r="S88" s="224">
        <f>'Emission Prices'!$D10</f>
        <v>1105.7268409076883</v>
      </c>
      <c r="T88" s="226">
        <f t="shared" si="5"/>
        <v>0</v>
      </c>
      <c r="U88" s="224">
        <f>'Emission Prices'!$B10</f>
        <v>349.3062327813775</v>
      </c>
      <c r="V88" s="226">
        <f t="shared" si="6"/>
        <v>0</v>
      </c>
      <c r="W88" s="226">
        <f t="shared" si="7"/>
        <v>0</v>
      </c>
      <c r="X88" s="225"/>
      <c r="AA88">
        <v>2012</v>
      </c>
      <c r="AB88" s="227">
        <f>'Summary Sheet'!$D$8</f>
        <v>0</v>
      </c>
      <c r="AC88" s="10">
        <f>'Summary Sheet'!$D$23</f>
        <v>0</v>
      </c>
      <c r="AD88" s="224">
        <f>'Emission Prices'!$F10</f>
        <v>3.3</v>
      </c>
      <c r="AE88" s="226">
        <f t="shared" si="8"/>
        <v>0</v>
      </c>
      <c r="AF88" s="224">
        <f>'Emission Prices'!$D10</f>
        <v>1105.7268409076883</v>
      </c>
      <c r="AG88" s="226">
        <f t="shared" si="9"/>
        <v>0</v>
      </c>
      <c r="AH88" s="224">
        <f>'Emission Prices'!$B10</f>
        <v>349.3062327813775</v>
      </c>
      <c r="AI88" s="226">
        <f t="shared" si="10"/>
        <v>0</v>
      </c>
      <c r="AJ88" s="226">
        <f t="shared" si="11"/>
        <v>0</v>
      </c>
      <c r="AK88" s="225"/>
      <c r="AN88">
        <v>2012</v>
      </c>
      <c r="AO88" s="227">
        <f>'Summary Sheet'!$E$8</f>
        <v>0</v>
      </c>
      <c r="AP88" s="10">
        <f>'Summary Sheet'!$E$23</f>
        <v>0</v>
      </c>
      <c r="AQ88" s="224">
        <f>'Emission Prices'!$F10</f>
        <v>3.3</v>
      </c>
      <c r="AR88" s="226">
        <f t="shared" si="12"/>
        <v>0</v>
      </c>
      <c r="AS88" s="224">
        <f>'Emission Prices'!$D10</f>
        <v>1105.7268409076883</v>
      </c>
      <c r="AT88" s="226">
        <f t="shared" si="13"/>
        <v>0</v>
      </c>
      <c r="AU88" s="224">
        <f>'Emission Prices'!$B10</f>
        <v>349.3062327813775</v>
      </c>
      <c r="AV88" s="226">
        <f t="shared" si="14"/>
        <v>0</v>
      </c>
      <c r="AW88" s="226">
        <f t="shared" si="15"/>
        <v>0</v>
      </c>
      <c r="AX88" s="225"/>
      <c r="BA88">
        <v>2012</v>
      </c>
      <c r="BB88" s="227">
        <f>'Summary Sheet'!$F$8</f>
        <v>0</v>
      </c>
      <c r="BC88" s="10">
        <f>'Summary Sheet'!$F$23</f>
        <v>0</v>
      </c>
      <c r="BD88" s="224">
        <f>'Emission Prices'!$F10</f>
        <v>3.3</v>
      </c>
      <c r="BE88" s="226">
        <f t="shared" si="16"/>
        <v>0</v>
      </c>
      <c r="BF88" s="224">
        <f>'Emission Prices'!$D10</f>
        <v>1105.7268409076883</v>
      </c>
      <c r="BG88" s="226">
        <f t="shared" si="17"/>
        <v>0</v>
      </c>
      <c r="BH88" s="224">
        <f>'Emission Prices'!$B10</f>
        <v>349.3062327813775</v>
      </c>
      <c r="BI88" s="226">
        <f t="shared" si="18"/>
        <v>0</v>
      </c>
      <c r="BJ88" s="226">
        <f t="shared" si="19"/>
        <v>0</v>
      </c>
      <c r="BK88" s="225"/>
      <c r="BN88">
        <v>2012</v>
      </c>
      <c r="BO88" s="227">
        <f>'Summary Sheet'!$G$8</f>
        <v>0</v>
      </c>
      <c r="BP88" s="10">
        <f>'Summary Sheet'!$G$23</f>
        <v>0</v>
      </c>
      <c r="BQ88" s="224">
        <f>'Emission Prices'!$F10</f>
        <v>3.3</v>
      </c>
      <c r="BR88" s="226">
        <f t="shared" si="20"/>
        <v>0</v>
      </c>
      <c r="BS88" s="224">
        <f>'Emission Prices'!$D10</f>
        <v>1105.7268409076883</v>
      </c>
      <c r="BT88" s="226">
        <f t="shared" si="21"/>
        <v>0</v>
      </c>
      <c r="BU88" s="224">
        <f>'Emission Prices'!$B10</f>
        <v>349.3062327813775</v>
      </c>
      <c r="BV88" s="226">
        <f t="shared" si="22"/>
        <v>0</v>
      </c>
      <c r="BW88" s="226">
        <f t="shared" si="23"/>
        <v>0</v>
      </c>
      <c r="BX88" s="225"/>
    </row>
    <row r="89" spans="1:76" ht="12.75">
      <c r="A89">
        <v>2013</v>
      </c>
      <c r="B89" s="227">
        <f>'Summary Sheet'!$B$8</f>
        <v>0</v>
      </c>
      <c r="C89" s="10">
        <f>'Summary Sheet'!$B$23</f>
        <v>0</v>
      </c>
      <c r="D89" s="224">
        <f>'Emission Prices'!$F11</f>
        <v>3.293373493975903</v>
      </c>
      <c r="E89" s="226">
        <f t="shared" si="0"/>
        <v>0</v>
      </c>
      <c r="F89" s="224">
        <f>'Emission Prices'!$D11</f>
        <v>767.9127032488227</v>
      </c>
      <c r="G89" s="226">
        <f t="shared" si="1"/>
        <v>0</v>
      </c>
      <c r="H89" s="224">
        <f>'Emission Prices'!$B11</f>
        <v>317.8839412416852</v>
      </c>
      <c r="I89" s="226">
        <f t="shared" si="2"/>
        <v>0</v>
      </c>
      <c r="J89" s="226">
        <f t="shared" si="3"/>
        <v>0</v>
      </c>
      <c r="K89" s="225"/>
      <c r="N89">
        <v>2013</v>
      </c>
      <c r="O89" s="227">
        <f>'Summary Sheet'!$C$8</f>
        <v>0</v>
      </c>
      <c r="P89" s="10">
        <f>'Summary Sheet'!$C$23</f>
        <v>0</v>
      </c>
      <c r="Q89" s="224">
        <f>'Emission Prices'!$F11</f>
        <v>3.293373493975903</v>
      </c>
      <c r="R89" s="226">
        <f t="shared" si="4"/>
        <v>0</v>
      </c>
      <c r="S89" s="224">
        <f>'Emission Prices'!$D11</f>
        <v>767.9127032488227</v>
      </c>
      <c r="T89" s="226">
        <f t="shared" si="5"/>
        <v>0</v>
      </c>
      <c r="U89" s="224">
        <f>'Emission Prices'!$B11</f>
        <v>317.8839412416852</v>
      </c>
      <c r="V89" s="226">
        <f t="shared" si="6"/>
        <v>0</v>
      </c>
      <c r="W89" s="226">
        <f t="shared" si="7"/>
        <v>0</v>
      </c>
      <c r="X89" s="225"/>
      <c r="AA89">
        <v>2013</v>
      </c>
      <c r="AB89" s="227">
        <f>'Summary Sheet'!$D$8</f>
        <v>0</v>
      </c>
      <c r="AC89" s="10">
        <f>'Summary Sheet'!$D$23</f>
        <v>0</v>
      </c>
      <c r="AD89" s="224">
        <f>'Emission Prices'!$F11</f>
        <v>3.293373493975903</v>
      </c>
      <c r="AE89" s="226">
        <f t="shared" si="8"/>
        <v>0</v>
      </c>
      <c r="AF89" s="224">
        <f>'Emission Prices'!$D11</f>
        <v>767.9127032488227</v>
      </c>
      <c r="AG89" s="226">
        <f t="shared" si="9"/>
        <v>0</v>
      </c>
      <c r="AH89" s="224">
        <f>'Emission Prices'!$B11</f>
        <v>317.8839412416852</v>
      </c>
      <c r="AI89" s="226">
        <f t="shared" si="10"/>
        <v>0</v>
      </c>
      <c r="AJ89" s="226">
        <f t="shared" si="11"/>
        <v>0</v>
      </c>
      <c r="AK89" s="225"/>
      <c r="AN89">
        <v>2013</v>
      </c>
      <c r="AO89" s="227">
        <f>'Summary Sheet'!$E$8</f>
        <v>0</v>
      </c>
      <c r="AP89" s="10">
        <f>'Summary Sheet'!$E$23</f>
        <v>0</v>
      </c>
      <c r="AQ89" s="224">
        <f>'Emission Prices'!$F11</f>
        <v>3.293373493975903</v>
      </c>
      <c r="AR89" s="226">
        <f t="shared" si="12"/>
        <v>0</v>
      </c>
      <c r="AS89" s="224">
        <f>'Emission Prices'!$D11</f>
        <v>767.9127032488227</v>
      </c>
      <c r="AT89" s="226">
        <f t="shared" si="13"/>
        <v>0</v>
      </c>
      <c r="AU89" s="224">
        <f>'Emission Prices'!$B11</f>
        <v>317.8839412416852</v>
      </c>
      <c r="AV89" s="226">
        <f t="shared" si="14"/>
        <v>0</v>
      </c>
      <c r="AW89" s="226">
        <f t="shared" si="15"/>
        <v>0</v>
      </c>
      <c r="AX89" s="225"/>
      <c r="BA89">
        <v>2013</v>
      </c>
      <c r="BB89" s="227">
        <f>'Summary Sheet'!$F$8</f>
        <v>0</v>
      </c>
      <c r="BC89" s="10">
        <f>'Summary Sheet'!$F$23</f>
        <v>0</v>
      </c>
      <c r="BD89" s="224">
        <f>'Emission Prices'!$F11</f>
        <v>3.293373493975903</v>
      </c>
      <c r="BE89" s="226">
        <f t="shared" si="16"/>
        <v>0</v>
      </c>
      <c r="BF89" s="224">
        <f>'Emission Prices'!$D11</f>
        <v>767.9127032488227</v>
      </c>
      <c r="BG89" s="226">
        <f t="shared" si="17"/>
        <v>0</v>
      </c>
      <c r="BH89" s="224">
        <f>'Emission Prices'!$B11</f>
        <v>317.8839412416852</v>
      </c>
      <c r="BI89" s="226">
        <f t="shared" si="18"/>
        <v>0</v>
      </c>
      <c r="BJ89" s="226">
        <f t="shared" si="19"/>
        <v>0</v>
      </c>
      <c r="BK89" s="225"/>
      <c r="BN89">
        <v>2013</v>
      </c>
      <c r="BO89" s="227">
        <f>'Summary Sheet'!$G$8</f>
        <v>0</v>
      </c>
      <c r="BP89" s="10">
        <f>'Summary Sheet'!$G$23</f>
        <v>0</v>
      </c>
      <c r="BQ89" s="224">
        <f>'Emission Prices'!$F11</f>
        <v>3.293373493975903</v>
      </c>
      <c r="BR89" s="226">
        <f t="shared" si="20"/>
        <v>0</v>
      </c>
      <c r="BS89" s="224">
        <f>'Emission Prices'!$D11</f>
        <v>767.9127032488227</v>
      </c>
      <c r="BT89" s="226">
        <f t="shared" si="21"/>
        <v>0</v>
      </c>
      <c r="BU89" s="224">
        <f>'Emission Prices'!$B11</f>
        <v>317.8839412416852</v>
      </c>
      <c r="BV89" s="226">
        <f t="shared" si="22"/>
        <v>0</v>
      </c>
      <c r="BW89" s="226">
        <f t="shared" si="23"/>
        <v>0</v>
      </c>
      <c r="BX89" s="225"/>
    </row>
    <row r="90" spans="1:76" ht="12.75">
      <c r="A90">
        <v>2014</v>
      </c>
      <c r="B90" s="227">
        <f>'Summary Sheet'!$B$8</f>
        <v>0</v>
      </c>
      <c r="C90" s="10">
        <f>'Summary Sheet'!$B$23</f>
        <v>0</v>
      </c>
      <c r="D90" s="224">
        <f>'Emission Prices'!$F12</f>
        <v>3.2867602941888028</v>
      </c>
      <c r="E90" s="226">
        <f t="shared" si="0"/>
        <v>0</v>
      </c>
      <c r="F90" s="224">
        <f>'Emission Prices'!$D12</f>
        <v>391.7854946571954</v>
      </c>
      <c r="G90" s="226">
        <f t="shared" si="1"/>
        <v>0</v>
      </c>
      <c r="H90" s="224">
        <f>'Emission Prices'!$B12</f>
        <v>222.52865325635938</v>
      </c>
      <c r="I90" s="226">
        <f t="shared" si="2"/>
        <v>0</v>
      </c>
      <c r="J90" s="226">
        <f t="shared" si="3"/>
        <v>0</v>
      </c>
      <c r="K90" s="225"/>
      <c r="N90">
        <v>2014</v>
      </c>
      <c r="O90" s="227">
        <f>'Summary Sheet'!$C$8</f>
        <v>0</v>
      </c>
      <c r="P90" s="10">
        <f>'Summary Sheet'!$C$23</f>
        <v>0</v>
      </c>
      <c r="Q90" s="224">
        <f>'Emission Prices'!$F12</f>
        <v>3.2867602941888028</v>
      </c>
      <c r="R90" s="226">
        <f t="shared" si="4"/>
        <v>0</v>
      </c>
      <c r="S90" s="224">
        <f>'Emission Prices'!$D12</f>
        <v>391.7854946571954</v>
      </c>
      <c r="T90" s="226">
        <f t="shared" si="5"/>
        <v>0</v>
      </c>
      <c r="U90" s="224">
        <f>'Emission Prices'!$B12</f>
        <v>222.52865325635938</v>
      </c>
      <c r="V90" s="226">
        <f t="shared" si="6"/>
        <v>0</v>
      </c>
      <c r="W90" s="226">
        <f t="shared" si="7"/>
        <v>0</v>
      </c>
      <c r="X90" s="225"/>
      <c r="AA90">
        <v>2014</v>
      </c>
      <c r="AB90" s="227">
        <f>'Summary Sheet'!$D$8</f>
        <v>0</v>
      </c>
      <c r="AC90" s="10">
        <f>'Summary Sheet'!$D$23</f>
        <v>0</v>
      </c>
      <c r="AD90" s="224">
        <f>'Emission Prices'!$F12</f>
        <v>3.2867602941888028</v>
      </c>
      <c r="AE90" s="226">
        <f t="shared" si="8"/>
        <v>0</v>
      </c>
      <c r="AF90" s="224">
        <f>'Emission Prices'!$D12</f>
        <v>391.7854946571954</v>
      </c>
      <c r="AG90" s="226">
        <f t="shared" si="9"/>
        <v>0</v>
      </c>
      <c r="AH90" s="224">
        <f>'Emission Prices'!$B12</f>
        <v>222.52865325635938</v>
      </c>
      <c r="AI90" s="226">
        <f t="shared" si="10"/>
        <v>0</v>
      </c>
      <c r="AJ90" s="226">
        <f t="shared" si="11"/>
        <v>0</v>
      </c>
      <c r="AK90" s="225"/>
      <c r="AN90">
        <v>2014</v>
      </c>
      <c r="AO90" s="227">
        <f>'Summary Sheet'!$E$8</f>
        <v>0</v>
      </c>
      <c r="AP90" s="10">
        <f>'Summary Sheet'!$E$23</f>
        <v>0</v>
      </c>
      <c r="AQ90" s="224">
        <f>'Emission Prices'!$F12</f>
        <v>3.2867602941888028</v>
      </c>
      <c r="AR90" s="226">
        <f t="shared" si="12"/>
        <v>0</v>
      </c>
      <c r="AS90" s="224">
        <f>'Emission Prices'!$D12</f>
        <v>391.7854946571954</v>
      </c>
      <c r="AT90" s="226">
        <f t="shared" si="13"/>
        <v>0</v>
      </c>
      <c r="AU90" s="224">
        <f>'Emission Prices'!$B12</f>
        <v>222.52865325635938</v>
      </c>
      <c r="AV90" s="226">
        <f t="shared" si="14"/>
        <v>0</v>
      </c>
      <c r="AW90" s="226">
        <f t="shared" si="15"/>
        <v>0</v>
      </c>
      <c r="AX90" s="225"/>
      <c r="BA90">
        <v>2014</v>
      </c>
      <c r="BB90" s="227">
        <f>'Summary Sheet'!$F$8</f>
        <v>0</v>
      </c>
      <c r="BC90" s="10">
        <f>'Summary Sheet'!$F$23</f>
        <v>0</v>
      </c>
      <c r="BD90" s="224">
        <f>'Emission Prices'!$F12</f>
        <v>3.2867602941888028</v>
      </c>
      <c r="BE90" s="226">
        <f t="shared" si="16"/>
        <v>0</v>
      </c>
      <c r="BF90" s="224">
        <f>'Emission Prices'!$D12</f>
        <v>391.7854946571954</v>
      </c>
      <c r="BG90" s="226">
        <f t="shared" si="17"/>
        <v>0</v>
      </c>
      <c r="BH90" s="224">
        <f>'Emission Prices'!$B12</f>
        <v>222.52865325635938</v>
      </c>
      <c r="BI90" s="226">
        <f t="shared" si="18"/>
        <v>0</v>
      </c>
      <c r="BJ90" s="226">
        <f t="shared" si="19"/>
        <v>0</v>
      </c>
      <c r="BK90" s="225"/>
      <c r="BN90">
        <v>2014</v>
      </c>
      <c r="BO90" s="227">
        <f>'Summary Sheet'!$G$8</f>
        <v>0</v>
      </c>
      <c r="BP90" s="10">
        <f>'Summary Sheet'!$G$23</f>
        <v>0</v>
      </c>
      <c r="BQ90" s="224">
        <f>'Emission Prices'!$F12</f>
        <v>3.2867602941888028</v>
      </c>
      <c r="BR90" s="226">
        <f t="shared" si="20"/>
        <v>0</v>
      </c>
      <c r="BS90" s="224">
        <f>'Emission Prices'!$D12</f>
        <v>391.7854946571954</v>
      </c>
      <c r="BT90" s="226">
        <f t="shared" si="21"/>
        <v>0</v>
      </c>
      <c r="BU90" s="224">
        <f>'Emission Prices'!$B12</f>
        <v>222.52865325635938</v>
      </c>
      <c r="BV90" s="226">
        <f t="shared" si="22"/>
        <v>0</v>
      </c>
      <c r="BW90" s="226">
        <f t="shared" si="23"/>
        <v>0</v>
      </c>
      <c r="BX90" s="225"/>
    </row>
    <row r="91" spans="1:76" ht="12.75">
      <c r="A91">
        <v>2015</v>
      </c>
      <c r="B91" s="227">
        <f>'Summary Sheet'!$B$8</f>
        <v>0</v>
      </c>
      <c r="C91" s="10">
        <f>'Summary Sheet'!$B$23</f>
        <v>0</v>
      </c>
      <c r="D91" s="224">
        <f>'Emission Prices'!$F13</f>
        <v>3.2801603739193474</v>
      </c>
      <c r="E91" s="226">
        <f t="shared" si="0"/>
        <v>0</v>
      </c>
      <c r="F91" s="224">
        <f>'Emission Prices'!$D13</f>
        <v>264.83530624012104</v>
      </c>
      <c r="G91" s="226">
        <f t="shared" si="1"/>
        <v>0</v>
      </c>
      <c r="H91" s="224">
        <f>'Emission Prices'!$B13</f>
        <v>153.76243832397856</v>
      </c>
      <c r="I91" s="226">
        <f t="shared" si="2"/>
        <v>0</v>
      </c>
      <c r="J91" s="226">
        <f t="shared" si="3"/>
        <v>0</v>
      </c>
      <c r="K91" s="225"/>
      <c r="N91">
        <v>2015</v>
      </c>
      <c r="O91" s="227">
        <f>'Summary Sheet'!$C$8</f>
        <v>0</v>
      </c>
      <c r="P91" s="10">
        <f>'Summary Sheet'!$C$23</f>
        <v>0</v>
      </c>
      <c r="Q91" s="224">
        <f>'Emission Prices'!$F13</f>
        <v>3.2801603739193474</v>
      </c>
      <c r="R91" s="226">
        <f t="shared" si="4"/>
        <v>0</v>
      </c>
      <c r="S91" s="224">
        <f>'Emission Prices'!$D13</f>
        <v>264.83530624012104</v>
      </c>
      <c r="T91" s="226">
        <f t="shared" si="5"/>
        <v>0</v>
      </c>
      <c r="U91" s="224">
        <f>'Emission Prices'!$B13</f>
        <v>153.76243832397856</v>
      </c>
      <c r="V91" s="226">
        <f t="shared" si="6"/>
        <v>0</v>
      </c>
      <c r="W91" s="226">
        <f t="shared" si="7"/>
        <v>0</v>
      </c>
      <c r="X91" s="225"/>
      <c r="AA91">
        <v>2015</v>
      </c>
      <c r="AB91" s="227">
        <f>'Summary Sheet'!$D$8</f>
        <v>0</v>
      </c>
      <c r="AC91" s="10">
        <f>'Summary Sheet'!$D$23</f>
        <v>0</v>
      </c>
      <c r="AD91" s="224">
        <f>'Emission Prices'!$F13</f>
        <v>3.2801603739193474</v>
      </c>
      <c r="AE91" s="226">
        <f t="shared" si="8"/>
        <v>0</v>
      </c>
      <c r="AF91" s="224">
        <f>'Emission Prices'!$D13</f>
        <v>264.83530624012104</v>
      </c>
      <c r="AG91" s="226">
        <f t="shared" si="9"/>
        <v>0</v>
      </c>
      <c r="AH91" s="224">
        <f>'Emission Prices'!$B13</f>
        <v>153.76243832397856</v>
      </c>
      <c r="AI91" s="226">
        <f t="shared" si="10"/>
        <v>0</v>
      </c>
      <c r="AJ91" s="226">
        <f t="shared" si="11"/>
        <v>0</v>
      </c>
      <c r="AK91" s="225"/>
      <c r="AN91">
        <v>2015</v>
      </c>
      <c r="AO91" s="227">
        <f>'Summary Sheet'!$E$8</f>
        <v>0</v>
      </c>
      <c r="AP91" s="10">
        <f>'Summary Sheet'!$E$23</f>
        <v>0</v>
      </c>
      <c r="AQ91" s="224">
        <f>'Emission Prices'!$F13</f>
        <v>3.2801603739193474</v>
      </c>
      <c r="AR91" s="226">
        <f t="shared" si="12"/>
        <v>0</v>
      </c>
      <c r="AS91" s="224">
        <f>'Emission Prices'!$D13</f>
        <v>264.83530624012104</v>
      </c>
      <c r="AT91" s="226">
        <f t="shared" si="13"/>
        <v>0</v>
      </c>
      <c r="AU91" s="224">
        <f>'Emission Prices'!$B13</f>
        <v>153.76243832397856</v>
      </c>
      <c r="AV91" s="226">
        <f t="shared" si="14"/>
        <v>0</v>
      </c>
      <c r="AW91" s="226">
        <f t="shared" si="15"/>
        <v>0</v>
      </c>
      <c r="AX91" s="225"/>
      <c r="BA91">
        <v>2015</v>
      </c>
      <c r="BB91" s="227">
        <f>'Summary Sheet'!$F$8</f>
        <v>0</v>
      </c>
      <c r="BC91" s="10">
        <f>'Summary Sheet'!$F$23</f>
        <v>0</v>
      </c>
      <c r="BD91" s="224">
        <f>'Emission Prices'!$F13</f>
        <v>3.2801603739193474</v>
      </c>
      <c r="BE91" s="226">
        <f t="shared" si="16"/>
        <v>0</v>
      </c>
      <c r="BF91" s="224">
        <f>'Emission Prices'!$D13</f>
        <v>264.83530624012104</v>
      </c>
      <c r="BG91" s="226">
        <f t="shared" si="17"/>
        <v>0</v>
      </c>
      <c r="BH91" s="224">
        <f>'Emission Prices'!$B13</f>
        <v>153.76243832397856</v>
      </c>
      <c r="BI91" s="226">
        <f t="shared" si="18"/>
        <v>0</v>
      </c>
      <c r="BJ91" s="226">
        <f t="shared" si="19"/>
        <v>0</v>
      </c>
      <c r="BK91" s="225"/>
      <c r="BN91">
        <v>2015</v>
      </c>
      <c r="BO91" s="227">
        <f>'Summary Sheet'!$G$8</f>
        <v>0</v>
      </c>
      <c r="BP91" s="10">
        <f>'Summary Sheet'!$G$23</f>
        <v>0</v>
      </c>
      <c r="BQ91" s="224">
        <f>'Emission Prices'!$F13</f>
        <v>3.2801603739193474</v>
      </c>
      <c r="BR91" s="226">
        <f t="shared" si="20"/>
        <v>0</v>
      </c>
      <c r="BS91" s="224">
        <f>'Emission Prices'!$D13</f>
        <v>264.83530624012104</v>
      </c>
      <c r="BT91" s="226">
        <f t="shared" si="21"/>
        <v>0</v>
      </c>
      <c r="BU91" s="224">
        <f>'Emission Prices'!$B13</f>
        <v>153.76243832397856</v>
      </c>
      <c r="BV91" s="226">
        <f t="shared" si="22"/>
        <v>0</v>
      </c>
      <c r="BW91" s="226">
        <f t="shared" si="23"/>
        <v>0</v>
      </c>
      <c r="BX91" s="225"/>
    </row>
    <row r="92" spans="1:76" ht="12.75">
      <c r="A92">
        <v>2016</v>
      </c>
      <c r="B92" s="227">
        <f>'Summary Sheet'!$B$8</f>
        <v>0</v>
      </c>
      <c r="C92" s="10">
        <f>'Summary Sheet'!$B$23</f>
        <v>0</v>
      </c>
      <c r="D92" s="224">
        <f>'Emission Prices'!$F14</f>
        <v>3.2735737065018387</v>
      </c>
      <c r="E92" s="226">
        <f t="shared" si="0"/>
        <v>0</v>
      </c>
      <c r="F92" s="224">
        <f>'Emission Prices'!$D14</f>
        <v>179.02076617887</v>
      </c>
      <c r="G92" s="226">
        <f t="shared" si="1"/>
        <v>0</v>
      </c>
      <c r="H92" s="224">
        <f>'Emission Prices'!$B14</f>
        <v>147.36507802113718</v>
      </c>
      <c r="I92" s="226">
        <f t="shared" si="2"/>
        <v>0</v>
      </c>
      <c r="J92" s="226">
        <f t="shared" si="3"/>
        <v>0</v>
      </c>
      <c r="K92" s="225"/>
      <c r="N92">
        <v>2016</v>
      </c>
      <c r="O92" s="227">
        <f>'Summary Sheet'!$C$8</f>
        <v>0</v>
      </c>
      <c r="P92" s="10">
        <f>'Summary Sheet'!$C$23</f>
        <v>0</v>
      </c>
      <c r="Q92" s="224">
        <f>'Emission Prices'!$F14</f>
        <v>3.2735737065018387</v>
      </c>
      <c r="R92" s="226">
        <f t="shared" si="4"/>
        <v>0</v>
      </c>
      <c r="S92" s="224">
        <f>'Emission Prices'!$D14</f>
        <v>179.02076617887</v>
      </c>
      <c r="T92" s="226">
        <f t="shared" si="5"/>
        <v>0</v>
      </c>
      <c r="U92" s="224">
        <f>'Emission Prices'!$B14</f>
        <v>147.36507802113718</v>
      </c>
      <c r="V92" s="226">
        <f t="shared" si="6"/>
        <v>0</v>
      </c>
      <c r="W92" s="226">
        <f t="shared" si="7"/>
        <v>0</v>
      </c>
      <c r="X92" s="225"/>
      <c r="AA92">
        <v>2016</v>
      </c>
      <c r="AB92" s="227">
        <f>'Summary Sheet'!$D$8</f>
        <v>0</v>
      </c>
      <c r="AC92" s="10">
        <f>'Summary Sheet'!$D$23</f>
        <v>0</v>
      </c>
      <c r="AD92" s="224">
        <f>'Emission Prices'!$F14</f>
        <v>3.2735737065018387</v>
      </c>
      <c r="AE92" s="226">
        <f t="shared" si="8"/>
        <v>0</v>
      </c>
      <c r="AF92" s="224">
        <f>'Emission Prices'!$D14</f>
        <v>179.02076617887</v>
      </c>
      <c r="AG92" s="226">
        <f t="shared" si="9"/>
        <v>0</v>
      </c>
      <c r="AH92" s="224">
        <f>'Emission Prices'!$B14</f>
        <v>147.36507802113718</v>
      </c>
      <c r="AI92" s="226">
        <f t="shared" si="10"/>
        <v>0</v>
      </c>
      <c r="AJ92" s="226">
        <f t="shared" si="11"/>
        <v>0</v>
      </c>
      <c r="AK92" s="225"/>
      <c r="AN92">
        <v>2016</v>
      </c>
      <c r="AO92" s="227">
        <f>'Summary Sheet'!$E$8</f>
        <v>0</v>
      </c>
      <c r="AP92" s="10">
        <f>'Summary Sheet'!$E$23</f>
        <v>0</v>
      </c>
      <c r="AQ92" s="224">
        <f>'Emission Prices'!$F14</f>
        <v>3.2735737065018387</v>
      </c>
      <c r="AR92" s="226">
        <f t="shared" si="12"/>
        <v>0</v>
      </c>
      <c r="AS92" s="224">
        <f>'Emission Prices'!$D14</f>
        <v>179.02076617887</v>
      </c>
      <c r="AT92" s="226">
        <f t="shared" si="13"/>
        <v>0</v>
      </c>
      <c r="AU92" s="224">
        <f>'Emission Prices'!$B14</f>
        <v>147.36507802113718</v>
      </c>
      <c r="AV92" s="226">
        <f t="shared" si="14"/>
        <v>0</v>
      </c>
      <c r="AW92" s="226">
        <f t="shared" si="15"/>
        <v>0</v>
      </c>
      <c r="AX92" s="225"/>
      <c r="BA92">
        <v>2016</v>
      </c>
      <c r="BB92" s="227">
        <f>'Summary Sheet'!$F$8</f>
        <v>0</v>
      </c>
      <c r="BC92" s="10">
        <f>'Summary Sheet'!$F$23</f>
        <v>0</v>
      </c>
      <c r="BD92" s="224">
        <f>'Emission Prices'!$F14</f>
        <v>3.2735737065018387</v>
      </c>
      <c r="BE92" s="226">
        <f t="shared" si="16"/>
        <v>0</v>
      </c>
      <c r="BF92" s="224">
        <f>'Emission Prices'!$D14</f>
        <v>179.02076617887</v>
      </c>
      <c r="BG92" s="226">
        <f t="shared" si="17"/>
        <v>0</v>
      </c>
      <c r="BH92" s="224">
        <f>'Emission Prices'!$B14</f>
        <v>147.36507802113718</v>
      </c>
      <c r="BI92" s="226">
        <f t="shared" si="18"/>
        <v>0</v>
      </c>
      <c r="BJ92" s="226">
        <f t="shared" si="19"/>
        <v>0</v>
      </c>
      <c r="BK92" s="225"/>
      <c r="BN92">
        <v>2016</v>
      </c>
      <c r="BO92" s="227">
        <f>'Summary Sheet'!$G$8</f>
        <v>0</v>
      </c>
      <c r="BP92" s="10">
        <f>'Summary Sheet'!$G$23</f>
        <v>0</v>
      </c>
      <c r="BQ92" s="224">
        <f>'Emission Prices'!$F14</f>
        <v>3.2735737065018387</v>
      </c>
      <c r="BR92" s="226">
        <f t="shared" si="20"/>
        <v>0</v>
      </c>
      <c r="BS92" s="224">
        <f>'Emission Prices'!$D14</f>
        <v>179.02076617887</v>
      </c>
      <c r="BT92" s="226">
        <f t="shared" si="21"/>
        <v>0</v>
      </c>
      <c r="BU92" s="224">
        <f>'Emission Prices'!$B14</f>
        <v>147.36507802113718</v>
      </c>
      <c r="BV92" s="226">
        <f t="shared" si="22"/>
        <v>0</v>
      </c>
      <c r="BW92" s="226">
        <f t="shared" si="23"/>
        <v>0</v>
      </c>
      <c r="BX92" s="225"/>
    </row>
    <row r="93" spans="1:76" ht="12.75">
      <c r="A93">
        <v>2017</v>
      </c>
      <c r="B93" s="227">
        <f>'Summary Sheet'!$B$8</f>
        <v>0</v>
      </c>
      <c r="C93" s="10">
        <f>'Summary Sheet'!$B$23</f>
        <v>0</v>
      </c>
      <c r="D93" s="224">
        <f>'Emission Prices'!$F15</f>
        <v>3.267000265324124</v>
      </c>
      <c r="E93" s="226">
        <f t="shared" si="0"/>
        <v>0</v>
      </c>
      <c r="F93" s="224">
        <f>'Emission Prices'!$D15</f>
        <v>121.01269720515266</v>
      </c>
      <c r="G93" s="226">
        <f t="shared" si="1"/>
        <v>0</v>
      </c>
      <c r="H93" s="224">
        <f>'Emission Prices'!$B15</f>
        <v>141.23388297484655</v>
      </c>
      <c r="I93" s="226">
        <f t="shared" si="2"/>
        <v>0</v>
      </c>
      <c r="J93" s="226">
        <f t="shared" si="3"/>
        <v>0</v>
      </c>
      <c r="K93" s="225"/>
      <c r="N93">
        <v>2017</v>
      </c>
      <c r="O93" s="227">
        <f>'Summary Sheet'!$C$8</f>
        <v>0</v>
      </c>
      <c r="P93" s="10">
        <f>'Summary Sheet'!$C$23</f>
        <v>0</v>
      </c>
      <c r="Q93" s="224">
        <f>'Emission Prices'!$F15</f>
        <v>3.267000265324124</v>
      </c>
      <c r="R93" s="226">
        <f t="shared" si="4"/>
        <v>0</v>
      </c>
      <c r="S93" s="224">
        <f>'Emission Prices'!$D15</f>
        <v>121.01269720515266</v>
      </c>
      <c r="T93" s="226">
        <f t="shared" si="5"/>
        <v>0</v>
      </c>
      <c r="U93" s="224">
        <f>'Emission Prices'!$B15</f>
        <v>141.23388297484655</v>
      </c>
      <c r="V93" s="226">
        <f t="shared" si="6"/>
        <v>0</v>
      </c>
      <c r="W93" s="226">
        <f t="shared" si="7"/>
        <v>0</v>
      </c>
      <c r="X93" s="225"/>
      <c r="AA93">
        <v>2017</v>
      </c>
      <c r="AB93" s="227">
        <f>'Summary Sheet'!$D$8</f>
        <v>0</v>
      </c>
      <c r="AC93" s="10">
        <f>'Summary Sheet'!$D$23</f>
        <v>0</v>
      </c>
      <c r="AD93" s="224">
        <f>'Emission Prices'!$F15</f>
        <v>3.267000265324124</v>
      </c>
      <c r="AE93" s="226">
        <f t="shared" si="8"/>
        <v>0</v>
      </c>
      <c r="AF93" s="224">
        <f>'Emission Prices'!$D15</f>
        <v>121.01269720515266</v>
      </c>
      <c r="AG93" s="226">
        <f t="shared" si="9"/>
        <v>0</v>
      </c>
      <c r="AH93" s="224">
        <f>'Emission Prices'!$B15</f>
        <v>141.23388297484655</v>
      </c>
      <c r="AI93" s="226">
        <f t="shared" si="10"/>
        <v>0</v>
      </c>
      <c r="AJ93" s="226">
        <f t="shared" si="11"/>
        <v>0</v>
      </c>
      <c r="AK93" s="225"/>
      <c r="AN93">
        <v>2017</v>
      </c>
      <c r="AO93" s="227">
        <f>'Summary Sheet'!$E$8</f>
        <v>0</v>
      </c>
      <c r="AP93" s="10">
        <f>'Summary Sheet'!$E$23</f>
        <v>0</v>
      </c>
      <c r="AQ93" s="224">
        <f>'Emission Prices'!$F15</f>
        <v>3.267000265324124</v>
      </c>
      <c r="AR93" s="226">
        <f t="shared" si="12"/>
        <v>0</v>
      </c>
      <c r="AS93" s="224">
        <f>'Emission Prices'!$D15</f>
        <v>121.01269720515266</v>
      </c>
      <c r="AT93" s="226">
        <f t="shared" si="13"/>
        <v>0</v>
      </c>
      <c r="AU93" s="224">
        <f>'Emission Prices'!$B15</f>
        <v>141.23388297484655</v>
      </c>
      <c r="AV93" s="226">
        <f t="shared" si="14"/>
        <v>0</v>
      </c>
      <c r="AW93" s="226">
        <f t="shared" si="15"/>
        <v>0</v>
      </c>
      <c r="AX93" s="225"/>
      <c r="BA93">
        <v>2017</v>
      </c>
      <c r="BB93" s="227">
        <f>'Summary Sheet'!$F$8</f>
        <v>0</v>
      </c>
      <c r="BC93" s="10">
        <f>'Summary Sheet'!$F$23</f>
        <v>0</v>
      </c>
      <c r="BD93" s="224">
        <f>'Emission Prices'!$F15</f>
        <v>3.267000265324124</v>
      </c>
      <c r="BE93" s="226">
        <f t="shared" si="16"/>
        <v>0</v>
      </c>
      <c r="BF93" s="224">
        <f>'Emission Prices'!$D15</f>
        <v>121.01269720515266</v>
      </c>
      <c r="BG93" s="226">
        <f t="shared" si="17"/>
        <v>0</v>
      </c>
      <c r="BH93" s="224">
        <f>'Emission Prices'!$B15</f>
        <v>141.23388297484655</v>
      </c>
      <c r="BI93" s="226">
        <f t="shared" si="18"/>
        <v>0</v>
      </c>
      <c r="BJ93" s="226">
        <f t="shared" si="19"/>
        <v>0</v>
      </c>
      <c r="BK93" s="225"/>
      <c r="BN93">
        <v>2017</v>
      </c>
      <c r="BO93" s="227">
        <f>'Summary Sheet'!$G$8</f>
        <v>0</v>
      </c>
      <c r="BP93" s="10">
        <f>'Summary Sheet'!$G$23</f>
        <v>0</v>
      </c>
      <c r="BQ93" s="224">
        <f>'Emission Prices'!$F15</f>
        <v>3.267000265324124</v>
      </c>
      <c r="BR93" s="226">
        <f t="shared" si="20"/>
        <v>0</v>
      </c>
      <c r="BS93" s="224">
        <f>'Emission Prices'!$D15</f>
        <v>121.01269720515266</v>
      </c>
      <c r="BT93" s="226">
        <f t="shared" si="21"/>
        <v>0</v>
      </c>
      <c r="BU93" s="224">
        <f>'Emission Prices'!$B15</f>
        <v>141.23388297484655</v>
      </c>
      <c r="BV93" s="226">
        <f t="shared" si="22"/>
        <v>0</v>
      </c>
      <c r="BW93" s="226">
        <f t="shared" si="23"/>
        <v>0</v>
      </c>
      <c r="BX93" s="225"/>
    </row>
    <row r="94" spans="1:76" ht="12.75">
      <c r="A94">
        <v>2018</v>
      </c>
      <c r="B94" s="227">
        <f>'Summary Sheet'!$B$8</f>
        <v>0</v>
      </c>
      <c r="C94" s="10">
        <f>'Summary Sheet'!$B$23</f>
        <v>0</v>
      </c>
      <c r="D94" s="224">
        <f>'Emission Prices'!$F16</f>
        <v>3.260440023827489</v>
      </c>
      <c r="E94" s="226">
        <f t="shared" si="0"/>
        <v>0</v>
      </c>
      <c r="F94" s="224">
        <f>'Emission Prices'!$D16</f>
        <v>81.80097313534131</v>
      </c>
      <c r="G94" s="226">
        <f t="shared" si="1"/>
        <v>0</v>
      </c>
      <c r="H94" s="224">
        <f>'Emission Prices'!$B16</f>
        <v>135.3577792514151</v>
      </c>
      <c r="I94" s="226">
        <f t="shared" si="2"/>
        <v>0</v>
      </c>
      <c r="J94" s="226">
        <f t="shared" si="3"/>
        <v>0</v>
      </c>
      <c r="K94" s="225"/>
      <c r="N94">
        <v>2018</v>
      </c>
      <c r="O94" s="227">
        <f>'Summary Sheet'!$C$8</f>
        <v>0</v>
      </c>
      <c r="P94" s="10">
        <f>'Summary Sheet'!$C$23</f>
        <v>0</v>
      </c>
      <c r="Q94" s="224">
        <f>'Emission Prices'!$F16</f>
        <v>3.260440023827489</v>
      </c>
      <c r="R94" s="226">
        <f t="shared" si="4"/>
        <v>0</v>
      </c>
      <c r="S94" s="224">
        <f>'Emission Prices'!$D16</f>
        <v>81.80097313534131</v>
      </c>
      <c r="T94" s="226">
        <f t="shared" si="5"/>
        <v>0</v>
      </c>
      <c r="U94" s="224">
        <f>'Emission Prices'!$B16</f>
        <v>135.3577792514151</v>
      </c>
      <c r="V94" s="226">
        <f t="shared" si="6"/>
        <v>0</v>
      </c>
      <c r="W94" s="226">
        <f t="shared" si="7"/>
        <v>0</v>
      </c>
      <c r="X94" s="225"/>
      <c r="AA94">
        <v>2018</v>
      </c>
      <c r="AB94" s="227">
        <f>'Summary Sheet'!$D$8</f>
        <v>0</v>
      </c>
      <c r="AC94" s="10">
        <f>'Summary Sheet'!$D$23</f>
        <v>0</v>
      </c>
      <c r="AD94" s="224">
        <f>'Emission Prices'!$F16</f>
        <v>3.260440023827489</v>
      </c>
      <c r="AE94" s="226">
        <f t="shared" si="8"/>
        <v>0</v>
      </c>
      <c r="AF94" s="224">
        <f>'Emission Prices'!$D16</f>
        <v>81.80097313534131</v>
      </c>
      <c r="AG94" s="226">
        <f t="shared" si="9"/>
        <v>0</v>
      </c>
      <c r="AH94" s="224">
        <f>'Emission Prices'!$B16</f>
        <v>135.3577792514151</v>
      </c>
      <c r="AI94" s="226">
        <f t="shared" si="10"/>
        <v>0</v>
      </c>
      <c r="AJ94" s="226">
        <f t="shared" si="11"/>
        <v>0</v>
      </c>
      <c r="AK94" s="225"/>
      <c r="AN94">
        <v>2018</v>
      </c>
      <c r="AO94" s="227">
        <f>'Summary Sheet'!$E$8</f>
        <v>0</v>
      </c>
      <c r="AP94" s="10">
        <f>'Summary Sheet'!$E$23</f>
        <v>0</v>
      </c>
      <c r="AQ94" s="224">
        <f>'Emission Prices'!$F16</f>
        <v>3.260440023827489</v>
      </c>
      <c r="AR94" s="226">
        <f t="shared" si="12"/>
        <v>0</v>
      </c>
      <c r="AS94" s="224">
        <f>'Emission Prices'!$D16</f>
        <v>81.80097313534131</v>
      </c>
      <c r="AT94" s="226">
        <f t="shared" si="13"/>
        <v>0</v>
      </c>
      <c r="AU94" s="224">
        <f>'Emission Prices'!$B16</f>
        <v>135.3577792514151</v>
      </c>
      <c r="AV94" s="226">
        <f t="shared" si="14"/>
        <v>0</v>
      </c>
      <c r="AW94" s="226">
        <f t="shared" si="15"/>
        <v>0</v>
      </c>
      <c r="AX94" s="225"/>
      <c r="BA94">
        <v>2018</v>
      </c>
      <c r="BB94" s="227">
        <f>'Summary Sheet'!$F$8</f>
        <v>0</v>
      </c>
      <c r="BC94" s="10">
        <f>'Summary Sheet'!$F$23</f>
        <v>0</v>
      </c>
      <c r="BD94" s="224">
        <f>'Emission Prices'!$F16</f>
        <v>3.260440023827489</v>
      </c>
      <c r="BE94" s="226">
        <f t="shared" si="16"/>
        <v>0</v>
      </c>
      <c r="BF94" s="224">
        <f>'Emission Prices'!$D16</f>
        <v>81.80097313534131</v>
      </c>
      <c r="BG94" s="226">
        <f t="shared" si="17"/>
        <v>0</v>
      </c>
      <c r="BH94" s="224">
        <f>'Emission Prices'!$B16</f>
        <v>135.3577792514151</v>
      </c>
      <c r="BI94" s="226">
        <f t="shared" si="18"/>
        <v>0</v>
      </c>
      <c r="BJ94" s="226">
        <f t="shared" si="19"/>
        <v>0</v>
      </c>
      <c r="BK94" s="225"/>
      <c r="BN94">
        <v>2018</v>
      </c>
      <c r="BO94" s="227">
        <f>'Summary Sheet'!$G$8</f>
        <v>0</v>
      </c>
      <c r="BP94" s="10">
        <f>'Summary Sheet'!$G$23</f>
        <v>0</v>
      </c>
      <c r="BQ94" s="224">
        <f>'Emission Prices'!$F16</f>
        <v>3.260440023827489</v>
      </c>
      <c r="BR94" s="226">
        <f t="shared" si="20"/>
        <v>0</v>
      </c>
      <c r="BS94" s="224">
        <f>'Emission Prices'!$D16</f>
        <v>81.80097313534131</v>
      </c>
      <c r="BT94" s="226">
        <f t="shared" si="21"/>
        <v>0</v>
      </c>
      <c r="BU94" s="224">
        <f>'Emission Prices'!$B16</f>
        <v>135.3577792514151</v>
      </c>
      <c r="BV94" s="226">
        <f t="shared" si="22"/>
        <v>0</v>
      </c>
      <c r="BW94" s="226">
        <f t="shared" si="23"/>
        <v>0</v>
      </c>
      <c r="BX94" s="225"/>
    </row>
    <row r="95" spans="1:76" ht="12.75">
      <c r="A95">
        <v>2019</v>
      </c>
      <c r="B95" s="227">
        <f>'Summary Sheet'!$B$8</f>
        <v>0</v>
      </c>
      <c r="C95" s="10">
        <f>'Summary Sheet'!$B$23</f>
        <v>0</v>
      </c>
      <c r="D95" s="224">
        <f>'Emission Prices'!$F17</f>
        <v>3.25389295550655</v>
      </c>
      <c r="E95" s="226">
        <f t="shared" si="0"/>
        <v>0</v>
      </c>
      <c r="F95" s="224">
        <f>'Emission Prices'!$D17</f>
        <v>55.295017468662074</v>
      </c>
      <c r="G95" s="226">
        <f t="shared" si="1"/>
        <v>0</v>
      </c>
      <c r="H95" s="224">
        <f>'Emission Prices'!$B17</f>
        <v>129.72615365349606</v>
      </c>
      <c r="I95" s="226">
        <f t="shared" si="2"/>
        <v>0</v>
      </c>
      <c r="J95" s="226">
        <f t="shared" si="3"/>
        <v>0</v>
      </c>
      <c r="K95" s="225"/>
      <c r="N95">
        <v>2019</v>
      </c>
      <c r="O95" s="227">
        <f>'Summary Sheet'!$C$8</f>
        <v>0</v>
      </c>
      <c r="P95" s="10">
        <f>'Summary Sheet'!$C$23</f>
        <v>0</v>
      </c>
      <c r="Q95" s="224">
        <f>'Emission Prices'!$F17</f>
        <v>3.25389295550655</v>
      </c>
      <c r="R95" s="226">
        <f t="shared" si="4"/>
        <v>0</v>
      </c>
      <c r="S95" s="224">
        <f>'Emission Prices'!$D17</f>
        <v>55.295017468662074</v>
      </c>
      <c r="T95" s="226">
        <f t="shared" si="5"/>
        <v>0</v>
      </c>
      <c r="U95" s="224">
        <f>'Emission Prices'!$B17</f>
        <v>129.72615365349606</v>
      </c>
      <c r="V95" s="226">
        <f t="shared" si="6"/>
        <v>0</v>
      </c>
      <c r="W95" s="226">
        <f t="shared" si="7"/>
        <v>0</v>
      </c>
      <c r="X95" s="225"/>
      <c r="AA95">
        <v>2019</v>
      </c>
      <c r="AB95" s="227">
        <f>'Summary Sheet'!$D$8</f>
        <v>0</v>
      </c>
      <c r="AC95" s="10">
        <f>'Summary Sheet'!$D$23</f>
        <v>0</v>
      </c>
      <c r="AD95" s="224">
        <f>'Emission Prices'!$F17</f>
        <v>3.25389295550655</v>
      </c>
      <c r="AE95" s="226">
        <f t="shared" si="8"/>
        <v>0</v>
      </c>
      <c r="AF95" s="224">
        <f>'Emission Prices'!$D17</f>
        <v>55.295017468662074</v>
      </c>
      <c r="AG95" s="226">
        <f t="shared" si="9"/>
        <v>0</v>
      </c>
      <c r="AH95" s="224">
        <f>'Emission Prices'!$B17</f>
        <v>129.72615365349606</v>
      </c>
      <c r="AI95" s="226">
        <f t="shared" si="10"/>
        <v>0</v>
      </c>
      <c r="AJ95" s="226">
        <f t="shared" si="11"/>
        <v>0</v>
      </c>
      <c r="AK95" s="225"/>
      <c r="AN95">
        <v>2019</v>
      </c>
      <c r="AO95" s="227">
        <f>'Summary Sheet'!$E$8</f>
        <v>0</v>
      </c>
      <c r="AP95" s="10">
        <f>'Summary Sheet'!$E$23</f>
        <v>0</v>
      </c>
      <c r="AQ95" s="224">
        <f>'Emission Prices'!$F17</f>
        <v>3.25389295550655</v>
      </c>
      <c r="AR95" s="226">
        <f t="shared" si="12"/>
        <v>0</v>
      </c>
      <c r="AS95" s="224">
        <f>'Emission Prices'!$D17</f>
        <v>55.295017468662074</v>
      </c>
      <c r="AT95" s="226">
        <f t="shared" si="13"/>
        <v>0</v>
      </c>
      <c r="AU95" s="224">
        <f>'Emission Prices'!$B17</f>
        <v>129.72615365349606</v>
      </c>
      <c r="AV95" s="226">
        <f t="shared" si="14"/>
        <v>0</v>
      </c>
      <c r="AW95" s="226">
        <f t="shared" si="15"/>
        <v>0</v>
      </c>
      <c r="AX95" s="225"/>
      <c r="BA95">
        <v>2019</v>
      </c>
      <c r="BB95" s="227">
        <f>'Summary Sheet'!$F$8</f>
        <v>0</v>
      </c>
      <c r="BC95" s="10">
        <f>'Summary Sheet'!$F$23</f>
        <v>0</v>
      </c>
      <c r="BD95" s="224">
        <f>'Emission Prices'!$F17</f>
        <v>3.25389295550655</v>
      </c>
      <c r="BE95" s="226">
        <f t="shared" si="16"/>
        <v>0</v>
      </c>
      <c r="BF95" s="224">
        <f>'Emission Prices'!$D17</f>
        <v>55.295017468662074</v>
      </c>
      <c r="BG95" s="226">
        <f t="shared" si="17"/>
        <v>0</v>
      </c>
      <c r="BH95" s="224">
        <f>'Emission Prices'!$B17</f>
        <v>129.72615365349606</v>
      </c>
      <c r="BI95" s="226">
        <f t="shared" si="18"/>
        <v>0</v>
      </c>
      <c r="BJ95" s="226">
        <f t="shared" si="19"/>
        <v>0</v>
      </c>
      <c r="BK95" s="225"/>
      <c r="BN95">
        <v>2019</v>
      </c>
      <c r="BO95" s="227">
        <f>'Summary Sheet'!$G$8</f>
        <v>0</v>
      </c>
      <c r="BP95" s="10">
        <f>'Summary Sheet'!$G$23</f>
        <v>0</v>
      </c>
      <c r="BQ95" s="224">
        <f>'Emission Prices'!$F17</f>
        <v>3.25389295550655</v>
      </c>
      <c r="BR95" s="226">
        <f t="shared" si="20"/>
        <v>0</v>
      </c>
      <c r="BS95" s="224">
        <f>'Emission Prices'!$D17</f>
        <v>55.295017468662074</v>
      </c>
      <c r="BT95" s="226">
        <f t="shared" si="21"/>
        <v>0</v>
      </c>
      <c r="BU95" s="224">
        <f>'Emission Prices'!$B17</f>
        <v>129.72615365349606</v>
      </c>
      <c r="BV95" s="226">
        <f t="shared" si="22"/>
        <v>0</v>
      </c>
      <c r="BW95" s="226">
        <f t="shared" si="23"/>
        <v>0</v>
      </c>
      <c r="BX95" s="225"/>
    </row>
    <row r="96" spans="1:76" ht="12.75">
      <c r="A96">
        <v>2020</v>
      </c>
      <c r="B96" s="227">
        <f>'Summary Sheet'!$B$8</f>
        <v>0</v>
      </c>
      <c r="C96" s="10">
        <f>'Summary Sheet'!$B$23</f>
        <v>0</v>
      </c>
      <c r="D96" s="224">
        <f>'Emission Prices'!$F18</f>
        <v>3.247359033909147</v>
      </c>
      <c r="E96" s="226">
        <f t="shared" si="0"/>
        <v>0</v>
      </c>
      <c r="F96" s="224">
        <f>'Emission Prices'!$D18</f>
        <v>37.37778219093905</v>
      </c>
      <c r="G96" s="226">
        <f t="shared" si="1"/>
        <v>0</v>
      </c>
      <c r="H96" s="224">
        <f>'Emission Prices'!$B18</f>
        <v>124.32883455092978</v>
      </c>
      <c r="I96" s="226">
        <f t="shared" si="2"/>
        <v>0</v>
      </c>
      <c r="J96" s="226">
        <f t="shared" si="3"/>
        <v>0</v>
      </c>
      <c r="K96" s="225"/>
      <c r="N96">
        <v>2020</v>
      </c>
      <c r="O96" s="227">
        <f>'Summary Sheet'!$C$8</f>
        <v>0</v>
      </c>
      <c r="P96" s="10">
        <f>'Summary Sheet'!$C$23</f>
        <v>0</v>
      </c>
      <c r="Q96" s="224">
        <f>'Emission Prices'!$F18</f>
        <v>3.247359033909147</v>
      </c>
      <c r="R96" s="226">
        <f t="shared" si="4"/>
        <v>0</v>
      </c>
      <c r="S96" s="224">
        <f>'Emission Prices'!$D18</f>
        <v>37.37778219093905</v>
      </c>
      <c r="T96" s="226">
        <f t="shared" si="5"/>
        <v>0</v>
      </c>
      <c r="U96" s="224">
        <f>'Emission Prices'!$B18</f>
        <v>124.32883455092978</v>
      </c>
      <c r="V96" s="226">
        <f t="shared" si="6"/>
        <v>0</v>
      </c>
      <c r="W96" s="226">
        <f t="shared" si="7"/>
        <v>0</v>
      </c>
      <c r="X96" s="225"/>
      <c r="AA96">
        <v>2020</v>
      </c>
      <c r="AB96" s="227">
        <f>'Summary Sheet'!$D$8</f>
        <v>0</v>
      </c>
      <c r="AC96" s="10">
        <f>'Summary Sheet'!$D$23</f>
        <v>0</v>
      </c>
      <c r="AD96" s="224">
        <f>'Emission Prices'!$F18</f>
        <v>3.247359033909147</v>
      </c>
      <c r="AE96" s="226">
        <f t="shared" si="8"/>
        <v>0</v>
      </c>
      <c r="AF96" s="224">
        <f>'Emission Prices'!$D18</f>
        <v>37.37778219093905</v>
      </c>
      <c r="AG96" s="226">
        <f t="shared" si="9"/>
        <v>0</v>
      </c>
      <c r="AH96" s="224">
        <f>'Emission Prices'!$B18</f>
        <v>124.32883455092978</v>
      </c>
      <c r="AI96" s="226">
        <f t="shared" si="10"/>
        <v>0</v>
      </c>
      <c r="AJ96" s="226">
        <f t="shared" si="11"/>
        <v>0</v>
      </c>
      <c r="AK96" s="225"/>
      <c r="AN96">
        <v>2020</v>
      </c>
      <c r="AO96" s="227">
        <f>'Summary Sheet'!$E$8</f>
        <v>0</v>
      </c>
      <c r="AP96" s="10">
        <f>'Summary Sheet'!$E$23</f>
        <v>0</v>
      </c>
      <c r="AQ96" s="224">
        <f>'Emission Prices'!$F18</f>
        <v>3.247359033909147</v>
      </c>
      <c r="AR96" s="226">
        <f t="shared" si="12"/>
        <v>0</v>
      </c>
      <c r="AS96" s="224">
        <f>'Emission Prices'!$D18</f>
        <v>37.37778219093905</v>
      </c>
      <c r="AT96" s="226">
        <f t="shared" si="13"/>
        <v>0</v>
      </c>
      <c r="AU96" s="224">
        <f>'Emission Prices'!$B18</f>
        <v>124.32883455092978</v>
      </c>
      <c r="AV96" s="226">
        <f t="shared" si="14"/>
        <v>0</v>
      </c>
      <c r="AW96" s="226">
        <f t="shared" si="15"/>
        <v>0</v>
      </c>
      <c r="AX96" s="225"/>
      <c r="BA96">
        <v>2020</v>
      </c>
      <c r="BB96" s="227">
        <f>'Summary Sheet'!$F$8</f>
        <v>0</v>
      </c>
      <c r="BC96" s="10">
        <f>'Summary Sheet'!$F$23</f>
        <v>0</v>
      </c>
      <c r="BD96" s="224">
        <f>'Emission Prices'!$F18</f>
        <v>3.247359033909147</v>
      </c>
      <c r="BE96" s="226">
        <f t="shared" si="16"/>
        <v>0</v>
      </c>
      <c r="BF96" s="224">
        <f>'Emission Prices'!$D18</f>
        <v>37.37778219093905</v>
      </c>
      <c r="BG96" s="226">
        <f t="shared" si="17"/>
        <v>0</v>
      </c>
      <c r="BH96" s="224">
        <f>'Emission Prices'!$B18</f>
        <v>124.32883455092978</v>
      </c>
      <c r="BI96" s="226">
        <f t="shared" si="18"/>
        <v>0</v>
      </c>
      <c r="BJ96" s="226">
        <f t="shared" si="19"/>
        <v>0</v>
      </c>
      <c r="BK96" s="225"/>
      <c r="BN96">
        <v>2020</v>
      </c>
      <c r="BO96" s="227">
        <f>'Summary Sheet'!$G$8</f>
        <v>0</v>
      </c>
      <c r="BP96" s="10">
        <f>'Summary Sheet'!$G$23</f>
        <v>0</v>
      </c>
      <c r="BQ96" s="224">
        <f>'Emission Prices'!$F18</f>
        <v>3.247359033909147</v>
      </c>
      <c r="BR96" s="226">
        <f t="shared" si="20"/>
        <v>0</v>
      </c>
      <c r="BS96" s="224">
        <f>'Emission Prices'!$D18</f>
        <v>37.37778219093905</v>
      </c>
      <c r="BT96" s="226">
        <f t="shared" si="21"/>
        <v>0</v>
      </c>
      <c r="BU96" s="224">
        <f>'Emission Prices'!$B18</f>
        <v>124.32883455092978</v>
      </c>
      <c r="BV96" s="226">
        <f t="shared" si="22"/>
        <v>0</v>
      </c>
      <c r="BW96" s="226">
        <f t="shared" si="23"/>
        <v>0</v>
      </c>
      <c r="BX96" s="225"/>
    </row>
    <row r="97" spans="1:76" ht="12.75">
      <c r="A97">
        <v>2021</v>
      </c>
      <c r="B97" s="227">
        <f>'Summary Sheet'!$B$8</f>
        <v>0</v>
      </c>
      <c r="C97" s="10">
        <f>'Summary Sheet'!$B$23</f>
        <v>0</v>
      </c>
      <c r="D97" s="224">
        <f>'Emission Prices'!$F19</f>
        <v>3.240838232636237</v>
      </c>
      <c r="E97" s="226">
        <f t="shared" si="0"/>
        <v>0</v>
      </c>
      <c r="F97" s="224">
        <f>'Emission Prices'!$D19</f>
        <v>25.266265668603374</v>
      </c>
      <c r="G97" s="226">
        <f t="shared" si="1"/>
        <v>0</v>
      </c>
      <c r="H97" s="224">
        <f>'Emission Prices'!$B19</f>
        <v>119.15607350912849</v>
      </c>
      <c r="I97" s="226">
        <f t="shared" si="2"/>
        <v>0</v>
      </c>
      <c r="J97" s="226">
        <f t="shared" si="3"/>
        <v>0</v>
      </c>
      <c r="K97" s="225"/>
      <c r="N97">
        <v>2021</v>
      </c>
      <c r="O97" s="227">
        <f>'Summary Sheet'!$C$8</f>
        <v>0</v>
      </c>
      <c r="P97" s="10">
        <f>'Summary Sheet'!$C$23</f>
        <v>0</v>
      </c>
      <c r="Q97" s="224">
        <f>'Emission Prices'!$F19</f>
        <v>3.240838232636237</v>
      </c>
      <c r="R97" s="226">
        <f t="shared" si="4"/>
        <v>0</v>
      </c>
      <c r="S97" s="224">
        <f>'Emission Prices'!$D19</f>
        <v>25.266265668603374</v>
      </c>
      <c r="T97" s="226">
        <f t="shared" si="5"/>
        <v>0</v>
      </c>
      <c r="U97" s="224">
        <f>'Emission Prices'!$B19</f>
        <v>119.15607350912849</v>
      </c>
      <c r="V97" s="226">
        <f t="shared" si="6"/>
        <v>0</v>
      </c>
      <c r="W97" s="226">
        <f t="shared" si="7"/>
        <v>0</v>
      </c>
      <c r="X97" s="225"/>
      <c r="AA97">
        <v>2021</v>
      </c>
      <c r="AB97" s="227">
        <f>'Summary Sheet'!$D$8</f>
        <v>0</v>
      </c>
      <c r="AC97" s="10">
        <f>'Summary Sheet'!$D$23</f>
        <v>0</v>
      </c>
      <c r="AD97" s="224">
        <f>'Emission Prices'!$F19</f>
        <v>3.240838232636237</v>
      </c>
      <c r="AE97" s="226">
        <f t="shared" si="8"/>
        <v>0</v>
      </c>
      <c r="AF97" s="224">
        <f>'Emission Prices'!$D19</f>
        <v>25.266265668603374</v>
      </c>
      <c r="AG97" s="226">
        <f t="shared" si="9"/>
        <v>0</v>
      </c>
      <c r="AH97" s="224">
        <f>'Emission Prices'!$B19</f>
        <v>119.15607350912849</v>
      </c>
      <c r="AI97" s="226">
        <f t="shared" si="10"/>
        <v>0</v>
      </c>
      <c r="AJ97" s="226">
        <f t="shared" si="11"/>
        <v>0</v>
      </c>
      <c r="AK97" s="225"/>
      <c r="AN97">
        <v>2021</v>
      </c>
      <c r="AO97" s="227">
        <f>'Summary Sheet'!$E$8</f>
        <v>0</v>
      </c>
      <c r="AP97" s="10">
        <f>'Summary Sheet'!$E$23</f>
        <v>0</v>
      </c>
      <c r="AQ97" s="224">
        <f>'Emission Prices'!$F19</f>
        <v>3.240838232636237</v>
      </c>
      <c r="AR97" s="226">
        <f t="shared" si="12"/>
        <v>0</v>
      </c>
      <c r="AS97" s="224">
        <f>'Emission Prices'!$D19</f>
        <v>25.266265668603374</v>
      </c>
      <c r="AT97" s="226">
        <f t="shared" si="13"/>
        <v>0</v>
      </c>
      <c r="AU97" s="224">
        <f>'Emission Prices'!$B19</f>
        <v>119.15607350912849</v>
      </c>
      <c r="AV97" s="226">
        <f t="shared" si="14"/>
        <v>0</v>
      </c>
      <c r="AW97" s="226">
        <f t="shared" si="15"/>
        <v>0</v>
      </c>
      <c r="AX97" s="225"/>
      <c r="BA97">
        <v>2021</v>
      </c>
      <c r="BB97" s="227">
        <f>'Summary Sheet'!$F$8</f>
        <v>0</v>
      </c>
      <c r="BC97" s="10">
        <f>'Summary Sheet'!$F$23</f>
        <v>0</v>
      </c>
      <c r="BD97" s="224">
        <f>'Emission Prices'!$F19</f>
        <v>3.240838232636237</v>
      </c>
      <c r="BE97" s="226">
        <f t="shared" si="16"/>
        <v>0</v>
      </c>
      <c r="BF97" s="224">
        <f>'Emission Prices'!$D19</f>
        <v>25.266265668603374</v>
      </c>
      <c r="BG97" s="226">
        <f t="shared" si="17"/>
        <v>0</v>
      </c>
      <c r="BH97" s="224">
        <f>'Emission Prices'!$B19</f>
        <v>119.15607350912849</v>
      </c>
      <c r="BI97" s="226">
        <f t="shared" si="18"/>
        <v>0</v>
      </c>
      <c r="BJ97" s="226">
        <f t="shared" si="19"/>
        <v>0</v>
      </c>
      <c r="BK97" s="225"/>
      <c r="BN97">
        <v>2021</v>
      </c>
      <c r="BO97" s="227">
        <f>'Summary Sheet'!$G$8</f>
        <v>0</v>
      </c>
      <c r="BP97" s="10">
        <f>'Summary Sheet'!$G$23</f>
        <v>0</v>
      </c>
      <c r="BQ97" s="224">
        <f>'Emission Prices'!$F19</f>
        <v>3.240838232636237</v>
      </c>
      <c r="BR97" s="226">
        <f t="shared" si="20"/>
        <v>0</v>
      </c>
      <c r="BS97" s="224">
        <f>'Emission Prices'!$D19</f>
        <v>25.266265668603374</v>
      </c>
      <c r="BT97" s="226">
        <f t="shared" si="21"/>
        <v>0</v>
      </c>
      <c r="BU97" s="224">
        <f>'Emission Prices'!$B19</f>
        <v>119.15607350912849</v>
      </c>
      <c r="BV97" s="226">
        <f t="shared" si="22"/>
        <v>0</v>
      </c>
      <c r="BW97" s="226">
        <f t="shared" si="23"/>
        <v>0</v>
      </c>
      <c r="BX97" s="225"/>
    </row>
    <row r="98" spans="1:76" ht="12.75">
      <c r="A98">
        <v>2022</v>
      </c>
      <c r="B98" s="227">
        <f>'Summary Sheet'!$B$8</f>
        <v>0</v>
      </c>
      <c r="C98" s="10">
        <f>'Summary Sheet'!$B$23</f>
        <v>0</v>
      </c>
      <c r="D98" s="224">
        <f>'Emission Prices'!$F20</f>
        <v>3.234330525341787</v>
      </c>
      <c r="E98" s="226">
        <f t="shared" si="0"/>
        <v>0</v>
      </c>
      <c r="F98" s="224">
        <f>'Emission Prices'!$D20</f>
        <v>17.079241822731785</v>
      </c>
      <c r="G98" s="226">
        <f t="shared" si="1"/>
        <v>0</v>
      </c>
      <c r="H98" s="224">
        <f>'Emission Prices'!$B20</f>
        <v>114.19852768182047</v>
      </c>
      <c r="I98" s="226">
        <f t="shared" si="2"/>
        <v>0</v>
      </c>
      <c r="J98" s="226">
        <f t="shared" si="3"/>
        <v>0</v>
      </c>
      <c r="K98" s="225"/>
      <c r="N98">
        <v>2022</v>
      </c>
      <c r="O98" s="227">
        <f>'Summary Sheet'!$C$8</f>
        <v>0</v>
      </c>
      <c r="P98" s="10">
        <f>'Summary Sheet'!$C$23</f>
        <v>0</v>
      </c>
      <c r="Q98" s="224">
        <f>'Emission Prices'!$F20</f>
        <v>3.234330525341787</v>
      </c>
      <c r="R98" s="226">
        <f t="shared" si="4"/>
        <v>0</v>
      </c>
      <c r="S98" s="224">
        <f>'Emission Prices'!$D20</f>
        <v>17.079241822731785</v>
      </c>
      <c r="T98" s="226">
        <f t="shared" si="5"/>
        <v>0</v>
      </c>
      <c r="U98" s="224">
        <f>'Emission Prices'!$B20</f>
        <v>114.19852768182047</v>
      </c>
      <c r="V98" s="226">
        <f t="shared" si="6"/>
        <v>0</v>
      </c>
      <c r="W98" s="226">
        <f t="shared" si="7"/>
        <v>0</v>
      </c>
      <c r="X98" s="225"/>
      <c r="AA98">
        <v>2022</v>
      </c>
      <c r="AB98" s="227">
        <f>'Summary Sheet'!$D$8</f>
        <v>0</v>
      </c>
      <c r="AC98" s="10">
        <f>'Summary Sheet'!$D$23</f>
        <v>0</v>
      </c>
      <c r="AD98" s="224">
        <f>'Emission Prices'!$F20</f>
        <v>3.234330525341787</v>
      </c>
      <c r="AE98" s="226">
        <f t="shared" si="8"/>
        <v>0</v>
      </c>
      <c r="AF98" s="224">
        <f>'Emission Prices'!$D20</f>
        <v>17.079241822731785</v>
      </c>
      <c r="AG98" s="226">
        <f t="shared" si="9"/>
        <v>0</v>
      </c>
      <c r="AH98" s="224">
        <f>'Emission Prices'!$B20</f>
        <v>114.19852768182047</v>
      </c>
      <c r="AI98" s="226">
        <f t="shared" si="10"/>
        <v>0</v>
      </c>
      <c r="AJ98" s="226">
        <f t="shared" si="11"/>
        <v>0</v>
      </c>
      <c r="AK98" s="225"/>
      <c r="AN98">
        <v>2022</v>
      </c>
      <c r="AO98" s="227">
        <f>'Summary Sheet'!$E$8</f>
        <v>0</v>
      </c>
      <c r="AP98" s="10">
        <f>'Summary Sheet'!$E$23</f>
        <v>0</v>
      </c>
      <c r="AQ98" s="224">
        <f>'Emission Prices'!$F20</f>
        <v>3.234330525341787</v>
      </c>
      <c r="AR98" s="226">
        <f t="shared" si="12"/>
        <v>0</v>
      </c>
      <c r="AS98" s="224">
        <f>'Emission Prices'!$D20</f>
        <v>17.079241822731785</v>
      </c>
      <c r="AT98" s="226">
        <f t="shared" si="13"/>
        <v>0</v>
      </c>
      <c r="AU98" s="224">
        <f>'Emission Prices'!$B20</f>
        <v>114.19852768182047</v>
      </c>
      <c r="AV98" s="226">
        <f t="shared" si="14"/>
        <v>0</v>
      </c>
      <c r="AW98" s="226">
        <f t="shared" si="15"/>
        <v>0</v>
      </c>
      <c r="AX98" s="225"/>
      <c r="BA98">
        <v>2022</v>
      </c>
      <c r="BB98" s="227">
        <f>'Summary Sheet'!$F$8</f>
        <v>0</v>
      </c>
      <c r="BC98" s="10">
        <f>'Summary Sheet'!$F$23</f>
        <v>0</v>
      </c>
      <c r="BD98" s="224">
        <f>'Emission Prices'!$F20</f>
        <v>3.234330525341787</v>
      </c>
      <c r="BE98" s="226">
        <f t="shared" si="16"/>
        <v>0</v>
      </c>
      <c r="BF98" s="224">
        <f>'Emission Prices'!$D20</f>
        <v>17.079241822731785</v>
      </c>
      <c r="BG98" s="226">
        <f t="shared" si="17"/>
        <v>0</v>
      </c>
      <c r="BH98" s="224">
        <f>'Emission Prices'!$B20</f>
        <v>114.19852768182047</v>
      </c>
      <c r="BI98" s="226">
        <f t="shared" si="18"/>
        <v>0</v>
      </c>
      <c r="BJ98" s="226">
        <f t="shared" si="19"/>
        <v>0</v>
      </c>
      <c r="BK98" s="225"/>
      <c r="BN98">
        <v>2022</v>
      </c>
      <c r="BO98" s="227">
        <f>'Summary Sheet'!$G$8</f>
        <v>0</v>
      </c>
      <c r="BP98" s="10">
        <f>'Summary Sheet'!$G$23</f>
        <v>0</v>
      </c>
      <c r="BQ98" s="224">
        <f>'Emission Prices'!$F20</f>
        <v>3.234330525341787</v>
      </c>
      <c r="BR98" s="226">
        <f t="shared" si="20"/>
        <v>0</v>
      </c>
      <c r="BS98" s="224">
        <f>'Emission Prices'!$D20</f>
        <v>17.079241822731785</v>
      </c>
      <c r="BT98" s="226">
        <f t="shared" si="21"/>
        <v>0</v>
      </c>
      <c r="BU98" s="224">
        <f>'Emission Prices'!$B20</f>
        <v>114.19852768182047</v>
      </c>
      <c r="BV98" s="226">
        <f t="shared" si="22"/>
        <v>0</v>
      </c>
      <c r="BW98" s="226">
        <f t="shared" si="23"/>
        <v>0</v>
      </c>
      <c r="BX98" s="225"/>
    </row>
    <row r="99" spans="1:76" ht="12.75">
      <c r="A99">
        <v>2023</v>
      </c>
      <c r="B99" s="227">
        <f>'Summary Sheet'!$B$8</f>
        <v>0</v>
      </c>
      <c r="C99" s="10">
        <f>'Summary Sheet'!$B$23</f>
        <v>0</v>
      </c>
      <c r="D99" s="224">
        <f>'Emission Prices'!$F21</f>
        <v>3.2278358857326666</v>
      </c>
      <c r="E99" s="226">
        <f t="shared" si="0"/>
        <v>0</v>
      </c>
      <c r="F99" s="224">
        <f>'Emission Prices'!$D21</f>
        <v>11.545057946644897</v>
      </c>
      <c r="G99" s="226">
        <f t="shared" si="1"/>
        <v>0</v>
      </c>
      <c r="H99" s="224">
        <f>'Emission Prices'!$B21</f>
        <v>109.44724293635294</v>
      </c>
      <c r="I99" s="226">
        <f t="shared" si="2"/>
        <v>0</v>
      </c>
      <c r="J99" s="226">
        <f t="shared" si="3"/>
        <v>0</v>
      </c>
      <c r="K99" s="225"/>
      <c r="N99">
        <v>2023</v>
      </c>
      <c r="O99" s="227">
        <f>'Summary Sheet'!$C$8</f>
        <v>0</v>
      </c>
      <c r="P99" s="10">
        <f>'Summary Sheet'!$C$23</f>
        <v>0</v>
      </c>
      <c r="Q99" s="224">
        <f>'Emission Prices'!$F21</f>
        <v>3.2278358857326666</v>
      </c>
      <c r="R99" s="226">
        <f t="shared" si="4"/>
        <v>0</v>
      </c>
      <c r="S99" s="224">
        <f>'Emission Prices'!$D21</f>
        <v>11.545057946644897</v>
      </c>
      <c r="T99" s="226">
        <f t="shared" si="5"/>
        <v>0</v>
      </c>
      <c r="U99" s="224">
        <f>'Emission Prices'!$B21</f>
        <v>109.44724293635294</v>
      </c>
      <c r="V99" s="226">
        <f t="shared" si="6"/>
        <v>0</v>
      </c>
      <c r="W99" s="226">
        <f t="shared" si="7"/>
        <v>0</v>
      </c>
      <c r="X99" s="225"/>
      <c r="AA99">
        <v>2023</v>
      </c>
      <c r="AB99" s="227">
        <f>'Summary Sheet'!$D$8</f>
        <v>0</v>
      </c>
      <c r="AC99" s="10">
        <f>'Summary Sheet'!$D$23</f>
        <v>0</v>
      </c>
      <c r="AD99" s="224">
        <f>'Emission Prices'!$F21</f>
        <v>3.2278358857326666</v>
      </c>
      <c r="AE99" s="226">
        <f t="shared" si="8"/>
        <v>0</v>
      </c>
      <c r="AF99" s="224">
        <f>'Emission Prices'!$D21</f>
        <v>11.545057946644897</v>
      </c>
      <c r="AG99" s="226">
        <f t="shared" si="9"/>
        <v>0</v>
      </c>
      <c r="AH99" s="224">
        <f>'Emission Prices'!$B21</f>
        <v>109.44724293635294</v>
      </c>
      <c r="AI99" s="226">
        <f t="shared" si="10"/>
        <v>0</v>
      </c>
      <c r="AJ99" s="226">
        <f t="shared" si="11"/>
        <v>0</v>
      </c>
      <c r="AK99" s="225"/>
      <c r="AN99">
        <v>2023</v>
      </c>
      <c r="AO99" s="227">
        <f>'Summary Sheet'!$E$8</f>
        <v>0</v>
      </c>
      <c r="AP99" s="10">
        <f>'Summary Sheet'!$E$23</f>
        <v>0</v>
      </c>
      <c r="AQ99" s="224">
        <f>'Emission Prices'!$F21</f>
        <v>3.2278358857326666</v>
      </c>
      <c r="AR99" s="226">
        <f t="shared" si="12"/>
        <v>0</v>
      </c>
      <c r="AS99" s="224">
        <f>'Emission Prices'!$D21</f>
        <v>11.545057946644897</v>
      </c>
      <c r="AT99" s="226">
        <f t="shared" si="13"/>
        <v>0</v>
      </c>
      <c r="AU99" s="224">
        <f>'Emission Prices'!$B21</f>
        <v>109.44724293635294</v>
      </c>
      <c r="AV99" s="226">
        <f t="shared" si="14"/>
        <v>0</v>
      </c>
      <c r="AW99" s="226">
        <f t="shared" si="15"/>
        <v>0</v>
      </c>
      <c r="AX99" s="225"/>
      <c r="BA99">
        <v>2023</v>
      </c>
      <c r="BB99" s="227">
        <f>'Summary Sheet'!$F$8</f>
        <v>0</v>
      </c>
      <c r="BC99" s="10">
        <f>'Summary Sheet'!$F$23</f>
        <v>0</v>
      </c>
      <c r="BD99" s="224">
        <f>'Emission Prices'!$F21</f>
        <v>3.2278358857326666</v>
      </c>
      <c r="BE99" s="226">
        <f t="shared" si="16"/>
        <v>0</v>
      </c>
      <c r="BF99" s="224">
        <f>'Emission Prices'!$D21</f>
        <v>11.545057946644897</v>
      </c>
      <c r="BG99" s="226">
        <f t="shared" si="17"/>
        <v>0</v>
      </c>
      <c r="BH99" s="224">
        <f>'Emission Prices'!$B21</f>
        <v>109.44724293635294</v>
      </c>
      <c r="BI99" s="226">
        <f t="shared" si="18"/>
        <v>0</v>
      </c>
      <c r="BJ99" s="226">
        <f t="shared" si="19"/>
        <v>0</v>
      </c>
      <c r="BK99" s="225"/>
      <c r="BN99">
        <v>2023</v>
      </c>
      <c r="BO99" s="227">
        <f>'Summary Sheet'!$G$8</f>
        <v>0</v>
      </c>
      <c r="BP99" s="10">
        <f>'Summary Sheet'!$G$23</f>
        <v>0</v>
      </c>
      <c r="BQ99" s="224">
        <f>'Emission Prices'!$F21</f>
        <v>3.2278358857326666</v>
      </c>
      <c r="BR99" s="226">
        <f t="shared" si="20"/>
        <v>0</v>
      </c>
      <c r="BS99" s="224">
        <f>'Emission Prices'!$D21</f>
        <v>11.545057946644897</v>
      </c>
      <c r="BT99" s="226">
        <f t="shared" si="21"/>
        <v>0</v>
      </c>
      <c r="BU99" s="224">
        <f>'Emission Prices'!$B21</f>
        <v>109.44724293635294</v>
      </c>
      <c r="BV99" s="226">
        <f t="shared" si="22"/>
        <v>0</v>
      </c>
      <c r="BW99" s="226">
        <f t="shared" si="23"/>
        <v>0</v>
      </c>
      <c r="BX99" s="225"/>
    </row>
    <row r="100" spans="1:76" ht="12.75">
      <c r="A100">
        <v>2024</v>
      </c>
      <c r="B100" s="227">
        <f>'Summary Sheet'!$B$8</f>
        <v>0</v>
      </c>
      <c r="C100" s="10">
        <f>'Summary Sheet'!$B$23</f>
        <v>0</v>
      </c>
      <c r="D100" s="224">
        <f>'Emission Prices'!$F22</f>
        <v>3.221354287568545</v>
      </c>
      <c r="E100" s="226">
        <f t="shared" si="0"/>
        <v>0</v>
      </c>
      <c r="F100" s="224">
        <f>'Emission Prices'!$D22</f>
        <v>7.804114747879911</v>
      </c>
      <c r="G100" s="226">
        <f t="shared" si="1"/>
        <v>0</v>
      </c>
      <c r="H100" s="224">
        <f>'Emission Prices'!$B22</f>
        <v>104.89363768107472</v>
      </c>
      <c r="I100" s="226">
        <f t="shared" si="2"/>
        <v>0</v>
      </c>
      <c r="J100" s="226">
        <f t="shared" si="3"/>
        <v>0</v>
      </c>
      <c r="K100" s="225"/>
      <c r="N100">
        <v>2024</v>
      </c>
      <c r="O100" s="227">
        <f>'Summary Sheet'!$C$8</f>
        <v>0</v>
      </c>
      <c r="P100" s="10">
        <f>'Summary Sheet'!$C$23</f>
        <v>0</v>
      </c>
      <c r="Q100" s="224">
        <f>'Emission Prices'!$F22</f>
        <v>3.221354287568545</v>
      </c>
      <c r="R100" s="226">
        <f t="shared" si="4"/>
        <v>0</v>
      </c>
      <c r="S100" s="224">
        <f>'Emission Prices'!$D22</f>
        <v>7.804114747879911</v>
      </c>
      <c r="T100" s="226">
        <f t="shared" si="5"/>
        <v>0</v>
      </c>
      <c r="U100" s="224">
        <f>'Emission Prices'!$B22</f>
        <v>104.89363768107472</v>
      </c>
      <c r="V100" s="226">
        <f t="shared" si="6"/>
        <v>0</v>
      </c>
      <c r="W100" s="226">
        <f t="shared" si="7"/>
        <v>0</v>
      </c>
      <c r="X100" s="225"/>
      <c r="AA100">
        <v>2024</v>
      </c>
      <c r="AB100" s="227">
        <f>'Summary Sheet'!$D$8</f>
        <v>0</v>
      </c>
      <c r="AC100" s="10">
        <f>'Summary Sheet'!$D$23</f>
        <v>0</v>
      </c>
      <c r="AD100" s="224">
        <f>'Emission Prices'!$F22</f>
        <v>3.221354287568545</v>
      </c>
      <c r="AE100" s="226">
        <f t="shared" si="8"/>
        <v>0</v>
      </c>
      <c r="AF100" s="224">
        <f>'Emission Prices'!$D22</f>
        <v>7.804114747879911</v>
      </c>
      <c r="AG100" s="226">
        <f t="shared" si="9"/>
        <v>0</v>
      </c>
      <c r="AH100" s="224">
        <f>'Emission Prices'!$B22</f>
        <v>104.89363768107472</v>
      </c>
      <c r="AI100" s="226">
        <f t="shared" si="10"/>
        <v>0</v>
      </c>
      <c r="AJ100" s="226">
        <f t="shared" si="11"/>
        <v>0</v>
      </c>
      <c r="AK100" s="225"/>
      <c r="AN100">
        <v>2024</v>
      </c>
      <c r="AO100" s="227">
        <f>'Summary Sheet'!$E$8</f>
        <v>0</v>
      </c>
      <c r="AP100" s="10">
        <f>'Summary Sheet'!$E$23</f>
        <v>0</v>
      </c>
      <c r="AQ100" s="224">
        <f>'Emission Prices'!$F22</f>
        <v>3.221354287568545</v>
      </c>
      <c r="AR100" s="226">
        <f t="shared" si="12"/>
        <v>0</v>
      </c>
      <c r="AS100" s="224">
        <f>'Emission Prices'!$D22</f>
        <v>7.804114747879911</v>
      </c>
      <c r="AT100" s="226">
        <f t="shared" si="13"/>
        <v>0</v>
      </c>
      <c r="AU100" s="224">
        <f>'Emission Prices'!$B22</f>
        <v>104.89363768107472</v>
      </c>
      <c r="AV100" s="226">
        <f t="shared" si="14"/>
        <v>0</v>
      </c>
      <c r="AW100" s="226">
        <f t="shared" si="15"/>
        <v>0</v>
      </c>
      <c r="AX100" s="225"/>
      <c r="BA100">
        <v>2024</v>
      </c>
      <c r="BB100" s="227">
        <f>'Summary Sheet'!$F$8</f>
        <v>0</v>
      </c>
      <c r="BC100" s="10">
        <f>'Summary Sheet'!$F$23</f>
        <v>0</v>
      </c>
      <c r="BD100" s="224">
        <f>'Emission Prices'!$F22</f>
        <v>3.221354287568545</v>
      </c>
      <c r="BE100" s="226">
        <f t="shared" si="16"/>
        <v>0</v>
      </c>
      <c r="BF100" s="224">
        <f>'Emission Prices'!$D22</f>
        <v>7.804114747879911</v>
      </c>
      <c r="BG100" s="226">
        <f t="shared" si="17"/>
        <v>0</v>
      </c>
      <c r="BH100" s="224">
        <f>'Emission Prices'!$B22</f>
        <v>104.89363768107472</v>
      </c>
      <c r="BI100" s="226">
        <f t="shared" si="18"/>
        <v>0</v>
      </c>
      <c r="BJ100" s="226">
        <f t="shared" si="19"/>
        <v>0</v>
      </c>
      <c r="BK100" s="225"/>
      <c r="BN100">
        <v>2024</v>
      </c>
      <c r="BO100" s="227">
        <f>'Summary Sheet'!$G$8</f>
        <v>0</v>
      </c>
      <c r="BP100" s="10">
        <f>'Summary Sheet'!$G$23</f>
        <v>0</v>
      </c>
      <c r="BQ100" s="224">
        <f>'Emission Prices'!$F22</f>
        <v>3.221354287568545</v>
      </c>
      <c r="BR100" s="226">
        <f t="shared" si="20"/>
        <v>0</v>
      </c>
      <c r="BS100" s="224">
        <f>'Emission Prices'!$D22</f>
        <v>7.804114747879911</v>
      </c>
      <c r="BT100" s="226">
        <f t="shared" si="21"/>
        <v>0</v>
      </c>
      <c r="BU100" s="224">
        <f>'Emission Prices'!$B22</f>
        <v>104.89363768107472</v>
      </c>
      <c r="BV100" s="226">
        <f t="shared" si="22"/>
        <v>0</v>
      </c>
      <c r="BW100" s="226">
        <f t="shared" si="23"/>
        <v>0</v>
      </c>
      <c r="BX100" s="225"/>
    </row>
    <row r="101" spans="1:76" ht="12.75">
      <c r="A101">
        <v>2025</v>
      </c>
      <c r="B101" s="227">
        <f>'Summary Sheet'!$B$8</f>
        <v>0</v>
      </c>
      <c r="C101" s="10">
        <f>'Summary Sheet'!$B$23</f>
        <v>0</v>
      </c>
      <c r="D101" s="224">
        <f>'Emission Prices'!$F23</f>
        <v>3.2148857046617807</v>
      </c>
      <c r="E101" s="226">
        <f t="shared" si="0"/>
        <v>0</v>
      </c>
      <c r="F101" s="224">
        <f>'Emission Prices'!$D23</f>
        <v>5.275348749182854</v>
      </c>
      <c r="G101" s="226">
        <f t="shared" si="1"/>
        <v>0</v>
      </c>
      <c r="H101" s="224">
        <f>'Emission Prices'!$B23</f>
        <v>100.52948736558842</v>
      </c>
      <c r="I101" s="226">
        <f t="shared" si="2"/>
        <v>0</v>
      </c>
      <c r="J101" s="226">
        <f t="shared" si="3"/>
        <v>0</v>
      </c>
      <c r="K101" s="225"/>
      <c r="N101">
        <v>2025</v>
      </c>
      <c r="O101" s="227">
        <f>'Summary Sheet'!$C$8</f>
        <v>0</v>
      </c>
      <c r="P101" s="10">
        <f>'Summary Sheet'!$C$23</f>
        <v>0</v>
      </c>
      <c r="Q101" s="224">
        <f>'Emission Prices'!$F23</f>
        <v>3.2148857046617807</v>
      </c>
      <c r="R101" s="226">
        <f t="shared" si="4"/>
        <v>0</v>
      </c>
      <c r="S101" s="224">
        <f>'Emission Prices'!$D23</f>
        <v>5.275348749182854</v>
      </c>
      <c r="T101" s="226">
        <f t="shared" si="5"/>
        <v>0</v>
      </c>
      <c r="U101" s="224">
        <f>'Emission Prices'!$B23</f>
        <v>100.52948736558842</v>
      </c>
      <c r="V101" s="226">
        <f t="shared" si="6"/>
        <v>0</v>
      </c>
      <c r="W101" s="226">
        <f t="shared" si="7"/>
        <v>0</v>
      </c>
      <c r="X101" s="225"/>
      <c r="AA101">
        <v>2025</v>
      </c>
      <c r="AB101" s="227">
        <f>'Summary Sheet'!$D$8</f>
        <v>0</v>
      </c>
      <c r="AC101" s="10">
        <f>'Summary Sheet'!$D$23</f>
        <v>0</v>
      </c>
      <c r="AD101" s="224">
        <f>'Emission Prices'!$F23</f>
        <v>3.2148857046617807</v>
      </c>
      <c r="AE101" s="226">
        <f t="shared" si="8"/>
        <v>0</v>
      </c>
      <c r="AF101" s="224">
        <f>'Emission Prices'!$D23</f>
        <v>5.275348749182854</v>
      </c>
      <c r="AG101" s="226">
        <f t="shared" si="9"/>
        <v>0</v>
      </c>
      <c r="AH101" s="224">
        <f>'Emission Prices'!$B23</f>
        <v>100.52948736558842</v>
      </c>
      <c r="AI101" s="226">
        <f t="shared" si="10"/>
        <v>0</v>
      </c>
      <c r="AJ101" s="226">
        <f t="shared" si="11"/>
        <v>0</v>
      </c>
      <c r="AK101" s="225"/>
      <c r="AN101">
        <v>2025</v>
      </c>
      <c r="AO101" s="227">
        <f>'Summary Sheet'!$E$8</f>
        <v>0</v>
      </c>
      <c r="AP101" s="10">
        <f>'Summary Sheet'!$E$23</f>
        <v>0</v>
      </c>
      <c r="AQ101" s="224">
        <f>'Emission Prices'!$F23</f>
        <v>3.2148857046617807</v>
      </c>
      <c r="AR101" s="226">
        <f t="shared" si="12"/>
        <v>0</v>
      </c>
      <c r="AS101" s="224">
        <f>'Emission Prices'!$D23</f>
        <v>5.275348749182854</v>
      </c>
      <c r="AT101" s="226">
        <f t="shared" si="13"/>
        <v>0</v>
      </c>
      <c r="AU101" s="224">
        <f>'Emission Prices'!$B23</f>
        <v>100.52948736558842</v>
      </c>
      <c r="AV101" s="226">
        <f t="shared" si="14"/>
        <v>0</v>
      </c>
      <c r="AW101" s="226">
        <f t="shared" si="15"/>
        <v>0</v>
      </c>
      <c r="AX101" s="225"/>
      <c r="BA101">
        <v>2025</v>
      </c>
      <c r="BB101" s="227">
        <f>'Summary Sheet'!$F$8</f>
        <v>0</v>
      </c>
      <c r="BC101" s="10">
        <f>'Summary Sheet'!$F$23</f>
        <v>0</v>
      </c>
      <c r="BD101" s="224">
        <f>'Emission Prices'!$F23</f>
        <v>3.2148857046617807</v>
      </c>
      <c r="BE101" s="226">
        <f t="shared" si="16"/>
        <v>0</v>
      </c>
      <c r="BF101" s="224">
        <f>'Emission Prices'!$D23</f>
        <v>5.275348749182854</v>
      </c>
      <c r="BG101" s="226">
        <f t="shared" si="17"/>
        <v>0</v>
      </c>
      <c r="BH101" s="224">
        <f>'Emission Prices'!$B23</f>
        <v>100.52948736558842</v>
      </c>
      <c r="BI101" s="226">
        <f t="shared" si="18"/>
        <v>0</v>
      </c>
      <c r="BJ101" s="226">
        <f t="shared" si="19"/>
        <v>0</v>
      </c>
      <c r="BK101" s="225"/>
      <c r="BN101">
        <v>2025</v>
      </c>
      <c r="BO101" s="227">
        <f>'Summary Sheet'!$G$8</f>
        <v>0</v>
      </c>
      <c r="BP101" s="10">
        <f>'Summary Sheet'!$G$23</f>
        <v>0</v>
      </c>
      <c r="BQ101" s="224">
        <f>'Emission Prices'!$F23</f>
        <v>3.2148857046617807</v>
      </c>
      <c r="BR101" s="226">
        <f t="shared" si="20"/>
        <v>0</v>
      </c>
      <c r="BS101" s="224">
        <f>'Emission Prices'!$D23</f>
        <v>5.275348749182854</v>
      </c>
      <c r="BT101" s="226">
        <f t="shared" si="21"/>
        <v>0</v>
      </c>
      <c r="BU101" s="224">
        <f>'Emission Prices'!$B23</f>
        <v>100.52948736558842</v>
      </c>
      <c r="BV101" s="226">
        <f t="shared" si="22"/>
        <v>0</v>
      </c>
      <c r="BW101" s="226">
        <f t="shared" si="23"/>
        <v>0</v>
      </c>
      <c r="BX101" s="225"/>
    </row>
    <row r="102" spans="1:76" ht="12.75">
      <c r="A102">
        <v>2026</v>
      </c>
      <c r="B102" s="227">
        <f>'Summary Sheet'!$B$8</f>
        <v>0</v>
      </c>
      <c r="C102" s="10">
        <f>'Summary Sheet'!$B$23</f>
        <v>0</v>
      </c>
      <c r="D102" s="224">
        <f>'Emission Prices'!$F24</f>
        <v>3.208430110877319</v>
      </c>
      <c r="E102" s="226">
        <f t="shared" si="0"/>
        <v>0</v>
      </c>
      <c r="F102" s="224">
        <f>'Emission Prices'!$D24</f>
        <v>3.565978374813785</v>
      </c>
      <c r="G102" s="226">
        <f t="shared" si="1"/>
        <v>0</v>
      </c>
      <c r="H102" s="224">
        <f>'Emission Prices'!$B24</f>
        <v>96.34690962587709</v>
      </c>
      <c r="I102" s="226">
        <f t="shared" si="2"/>
        <v>0</v>
      </c>
      <c r="J102" s="226">
        <f t="shared" si="3"/>
        <v>0</v>
      </c>
      <c r="K102" s="225"/>
      <c r="N102">
        <v>2026</v>
      </c>
      <c r="O102" s="227">
        <f>'Summary Sheet'!$C$8</f>
        <v>0</v>
      </c>
      <c r="P102" s="10">
        <f>'Summary Sheet'!$C$23</f>
        <v>0</v>
      </c>
      <c r="Q102" s="224">
        <f>'Emission Prices'!$F24</f>
        <v>3.208430110877319</v>
      </c>
      <c r="R102" s="226">
        <f t="shared" si="4"/>
        <v>0</v>
      </c>
      <c r="S102" s="224">
        <f>'Emission Prices'!$D24</f>
        <v>3.565978374813785</v>
      </c>
      <c r="T102" s="226">
        <f t="shared" si="5"/>
        <v>0</v>
      </c>
      <c r="U102" s="224">
        <f>'Emission Prices'!$B24</f>
        <v>96.34690962587709</v>
      </c>
      <c r="V102" s="226">
        <f t="shared" si="6"/>
        <v>0</v>
      </c>
      <c r="W102" s="226">
        <f t="shared" si="7"/>
        <v>0</v>
      </c>
      <c r="X102" s="225"/>
      <c r="AA102">
        <v>2026</v>
      </c>
      <c r="AB102" s="227">
        <f>'Summary Sheet'!$D$8</f>
        <v>0</v>
      </c>
      <c r="AC102" s="10">
        <f>'Summary Sheet'!$D$23</f>
        <v>0</v>
      </c>
      <c r="AD102" s="224">
        <f>'Emission Prices'!$F24</f>
        <v>3.208430110877319</v>
      </c>
      <c r="AE102" s="226">
        <f t="shared" si="8"/>
        <v>0</v>
      </c>
      <c r="AF102" s="224">
        <f>'Emission Prices'!$D24</f>
        <v>3.565978374813785</v>
      </c>
      <c r="AG102" s="226">
        <f t="shared" si="9"/>
        <v>0</v>
      </c>
      <c r="AH102" s="224">
        <f>'Emission Prices'!$B24</f>
        <v>96.34690962587709</v>
      </c>
      <c r="AI102" s="226">
        <f t="shared" si="10"/>
        <v>0</v>
      </c>
      <c r="AJ102" s="226">
        <f t="shared" si="11"/>
        <v>0</v>
      </c>
      <c r="AK102" s="225"/>
      <c r="AN102">
        <v>2026</v>
      </c>
      <c r="AO102" s="227">
        <f>'Summary Sheet'!$E$8</f>
        <v>0</v>
      </c>
      <c r="AP102" s="10">
        <f>'Summary Sheet'!$E$23</f>
        <v>0</v>
      </c>
      <c r="AQ102" s="224">
        <f>'Emission Prices'!$F24</f>
        <v>3.208430110877319</v>
      </c>
      <c r="AR102" s="226">
        <f t="shared" si="12"/>
        <v>0</v>
      </c>
      <c r="AS102" s="224">
        <f>'Emission Prices'!$D24</f>
        <v>3.565978374813785</v>
      </c>
      <c r="AT102" s="226">
        <f t="shared" si="13"/>
        <v>0</v>
      </c>
      <c r="AU102" s="224">
        <f>'Emission Prices'!$B24</f>
        <v>96.34690962587709</v>
      </c>
      <c r="AV102" s="226">
        <f t="shared" si="14"/>
        <v>0</v>
      </c>
      <c r="AW102" s="226">
        <f t="shared" si="15"/>
        <v>0</v>
      </c>
      <c r="AX102" s="225"/>
      <c r="BA102">
        <v>2026</v>
      </c>
      <c r="BB102" s="227">
        <f>'Summary Sheet'!$F$8</f>
        <v>0</v>
      </c>
      <c r="BC102" s="10">
        <f>'Summary Sheet'!$F$23</f>
        <v>0</v>
      </c>
      <c r="BD102" s="224">
        <f>'Emission Prices'!$F24</f>
        <v>3.208430110877319</v>
      </c>
      <c r="BE102" s="226">
        <f t="shared" si="16"/>
        <v>0</v>
      </c>
      <c r="BF102" s="224">
        <f>'Emission Prices'!$D24</f>
        <v>3.565978374813785</v>
      </c>
      <c r="BG102" s="226">
        <f t="shared" si="17"/>
        <v>0</v>
      </c>
      <c r="BH102" s="224">
        <f>'Emission Prices'!$B24</f>
        <v>96.34690962587709</v>
      </c>
      <c r="BI102" s="226">
        <f t="shared" si="18"/>
        <v>0</v>
      </c>
      <c r="BJ102" s="226">
        <f t="shared" si="19"/>
        <v>0</v>
      </c>
      <c r="BK102" s="225"/>
      <c r="BN102">
        <v>2026</v>
      </c>
      <c r="BO102" s="227">
        <f>'Summary Sheet'!$G$8</f>
        <v>0</v>
      </c>
      <c r="BP102" s="10">
        <f>'Summary Sheet'!$G$23</f>
        <v>0</v>
      </c>
      <c r="BQ102" s="224">
        <f>'Emission Prices'!$F24</f>
        <v>3.208430110877319</v>
      </c>
      <c r="BR102" s="226">
        <f t="shared" si="20"/>
        <v>0</v>
      </c>
      <c r="BS102" s="224">
        <f>'Emission Prices'!$D24</f>
        <v>3.565978374813785</v>
      </c>
      <c r="BT102" s="226">
        <f t="shared" si="21"/>
        <v>0</v>
      </c>
      <c r="BU102" s="224">
        <f>'Emission Prices'!$B24</f>
        <v>96.34690962587709</v>
      </c>
      <c r="BV102" s="226">
        <f t="shared" si="22"/>
        <v>0</v>
      </c>
      <c r="BW102" s="226">
        <f t="shared" si="23"/>
        <v>0</v>
      </c>
      <c r="BX102" s="225"/>
    </row>
    <row r="103" spans="1:76" ht="12.75">
      <c r="A103">
        <v>2027</v>
      </c>
      <c r="B103" s="227">
        <f>'Summary Sheet'!$B$8</f>
        <v>0</v>
      </c>
      <c r="C103" s="10">
        <f>'Summary Sheet'!$B$23</f>
        <v>0</v>
      </c>
      <c r="D103" s="224">
        <f>'Emission Prices'!$F25</f>
        <v>3.2019874801325856</v>
      </c>
      <c r="E103" s="226">
        <f t="shared" si="0"/>
        <v>0</v>
      </c>
      <c r="F103" s="224">
        <f>'Emission Prices'!$D25</f>
        <v>2.410494997436765</v>
      </c>
      <c r="G103" s="226">
        <f t="shared" si="1"/>
        <v>0</v>
      </c>
      <c r="H103" s="224">
        <f>'Emission Prices'!$B25</f>
        <v>92.33835004747509</v>
      </c>
      <c r="I103" s="226">
        <f t="shared" si="2"/>
        <v>0</v>
      </c>
      <c r="J103" s="226">
        <f t="shared" si="3"/>
        <v>0</v>
      </c>
      <c r="K103" s="225"/>
      <c r="N103">
        <v>2027</v>
      </c>
      <c r="O103" s="227">
        <f>'Summary Sheet'!$C$8</f>
        <v>0</v>
      </c>
      <c r="P103" s="10">
        <f>'Summary Sheet'!$C$23</f>
        <v>0</v>
      </c>
      <c r="Q103" s="224">
        <f>'Emission Prices'!$F25</f>
        <v>3.2019874801325856</v>
      </c>
      <c r="R103" s="226">
        <f t="shared" si="4"/>
        <v>0</v>
      </c>
      <c r="S103" s="224">
        <f>'Emission Prices'!$D25</f>
        <v>2.410494997436765</v>
      </c>
      <c r="T103" s="226">
        <f t="shared" si="5"/>
        <v>0</v>
      </c>
      <c r="U103" s="224">
        <f>'Emission Prices'!$B25</f>
        <v>92.33835004747509</v>
      </c>
      <c r="V103" s="226">
        <f t="shared" si="6"/>
        <v>0</v>
      </c>
      <c r="W103" s="226">
        <f t="shared" si="7"/>
        <v>0</v>
      </c>
      <c r="X103" s="225"/>
      <c r="AA103">
        <v>2027</v>
      </c>
      <c r="AB103" s="227">
        <f>'Summary Sheet'!$D$8</f>
        <v>0</v>
      </c>
      <c r="AC103" s="10">
        <f>'Summary Sheet'!$D$23</f>
        <v>0</v>
      </c>
      <c r="AD103" s="224">
        <f>'Emission Prices'!$F25</f>
        <v>3.2019874801325856</v>
      </c>
      <c r="AE103" s="226">
        <f t="shared" si="8"/>
        <v>0</v>
      </c>
      <c r="AF103" s="224">
        <f>'Emission Prices'!$D25</f>
        <v>2.410494997436765</v>
      </c>
      <c r="AG103" s="226">
        <f t="shared" si="9"/>
        <v>0</v>
      </c>
      <c r="AH103" s="224">
        <f>'Emission Prices'!$B25</f>
        <v>92.33835004747509</v>
      </c>
      <c r="AI103" s="226">
        <f t="shared" si="10"/>
        <v>0</v>
      </c>
      <c r="AJ103" s="226">
        <f t="shared" si="11"/>
        <v>0</v>
      </c>
      <c r="AK103" s="225"/>
      <c r="AN103">
        <v>2027</v>
      </c>
      <c r="AO103" s="227">
        <f>'Summary Sheet'!$E$8</f>
        <v>0</v>
      </c>
      <c r="AP103" s="10">
        <f>'Summary Sheet'!$E$23</f>
        <v>0</v>
      </c>
      <c r="AQ103" s="224">
        <f>'Emission Prices'!$F25</f>
        <v>3.2019874801325856</v>
      </c>
      <c r="AR103" s="226">
        <f t="shared" si="12"/>
        <v>0</v>
      </c>
      <c r="AS103" s="224">
        <f>'Emission Prices'!$D25</f>
        <v>2.410494997436765</v>
      </c>
      <c r="AT103" s="226">
        <f t="shared" si="13"/>
        <v>0</v>
      </c>
      <c r="AU103" s="224">
        <f>'Emission Prices'!$B25</f>
        <v>92.33835004747509</v>
      </c>
      <c r="AV103" s="226">
        <f t="shared" si="14"/>
        <v>0</v>
      </c>
      <c r="AW103" s="226">
        <f t="shared" si="15"/>
        <v>0</v>
      </c>
      <c r="AX103" s="225"/>
      <c r="BA103">
        <v>2027</v>
      </c>
      <c r="BB103" s="227">
        <f>'Summary Sheet'!$F$8</f>
        <v>0</v>
      </c>
      <c r="BC103" s="10">
        <f>'Summary Sheet'!$F$23</f>
        <v>0</v>
      </c>
      <c r="BD103" s="224">
        <f>'Emission Prices'!$F25</f>
        <v>3.2019874801325856</v>
      </c>
      <c r="BE103" s="226">
        <f t="shared" si="16"/>
        <v>0</v>
      </c>
      <c r="BF103" s="224">
        <f>'Emission Prices'!$D25</f>
        <v>2.410494997436765</v>
      </c>
      <c r="BG103" s="226">
        <f t="shared" si="17"/>
        <v>0</v>
      </c>
      <c r="BH103" s="224">
        <f>'Emission Prices'!$B25</f>
        <v>92.33835004747509</v>
      </c>
      <c r="BI103" s="226">
        <f t="shared" si="18"/>
        <v>0</v>
      </c>
      <c r="BJ103" s="226">
        <f t="shared" si="19"/>
        <v>0</v>
      </c>
      <c r="BK103" s="225"/>
      <c r="BN103">
        <v>2027</v>
      </c>
      <c r="BO103" s="227">
        <f>'Summary Sheet'!$G$8</f>
        <v>0</v>
      </c>
      <c r="BP103" s="10">
        <f>'Summary Sheet'!$G$23</f>
        <v>0</v>
      </c>
      <c r="BQ103" s="224">
        <f>'Emission Prices'!$F25</f>
        <v>3.2019874801325856</v>
      </c>
      <c r="BR103" s="226">
        <f t="shared" si="20"/>
        <v>0</v>
      </c>
      <c r="BS103" s="224">
        <f>'Emission Prices'!$D25</f>
        <v>2.410494997436765</v>
      </c>
      <c r="BT103" s="226">
        <f t="shared" si="21"/>
        <v>0</v>
      </c>
      <c r="BU103" s="224">
        <f>'Emission Prices'!$B25</f>
        <v>92.33835004747509</v>
      </c>
      <c r="BV103" s="226">
        <f t="shared" si="22"/>
        <v>0</v>
      </c>
      <c r="BW103" s="226">
        <f t="shared" si="23"/>
        <v>0</v>
      </c>
      <c r="BX103" s="225"/>
    </row>
    <row r="104" spans="1:76" ht="12.75">
      <c r="A104">
        <v>2028</v>
      </c>
      <c r="B104" s="227">
        <f>'Summary Sheet'!$B$8</f>
        <v>0</v>
      </c>
      <c r="C104" s="10">
        <f>'Summary Sheet'!$B$23</f>
        <v>0</v>
      </c>
      <c r="D104" s="224">
        <f>'Emission Prices'!$F26</f>
        <v>3.1955577863973796</v>
      </c>
      <c r="E104" s="226">
        <f t="shared" si="0"/>
        <v>0</v>
      </c>
      <c r="F104" s="224">
        <f>'Emission Prices'!$D26</f>
        <v>1.6294227058993573</v>
      </c>
      <c r="G104" s="226">
        <f t="shared" si="1"/>
        <v>0</v>
      </c>
      <c r="H104" s="224">
        <f>'Emission Prices'!$B26</f>
        <v>88.49656852096903</v>
      </c>
      <c r="I104" s="226">
        <f t="shared" si="2"/>
        <v>0</v>
      </c>
      <c r="J104" s="226">
        <f t="shared" si="3"/>
        <v>0</v>
      </c>
      <c r="K104" s="225"/>
      <c r="N104">
        <v>2028</v>
      </c>
      <c r="O104" s="227">
        <f>'Summary Sheet'!$C$8</f>
        <v>0</v>
      </c>
      <c r="P104" s="10">
        <f>'Summary Sheet'!$C$23</f>
        <v>0</v>
      </c>
      <c r="Q104" s="224">
        <f>'Emission Prices'!$F26</f>
        <v>3.1955577863973796</v>
      </c>
      <c r="R104" s="226">
        <f t="shared" si="4"/>
        <v>0</v>
      </c>
      <c r="S104" s="224">
        <f>'Emission Prices'!$D26</f>
        <v>1.6294227058993573</v>
      </c>
      <c r="T104" s="226">
        <f t="shared" si="5"/>
        <v>0</v>
      </c>
      <c r="U104" s="224">
        <f>'Emission Prices'!$B26</f>
        <v>88.49656852096903</v>
      </c>
      <c r="V104" s="226">
        <f t="shared" si="6"/>
        <v>0</v>
      </c>
      <c r="W104" s="226">
        <f t="shared" si="7"/>
        <v>0</v>
      </c>
      <c r="X104" s="225"/>
      <c r="AA104">
        <v>2028</v>
      </c>
      <c r="AB104" s="227">
        <f>'Summary Sheet'!$D$8</f>
        <v>0</v>
      </c>
      <c r="AC104" s="10">
        <f>'Summary Sheet'!$D$23</f>
        <v>0</v>
      </c>
      <c r="AD104" s="224">
        <f>'Emission Prices'!$F26</f>
        <v>3.1955577863973796</v>
      </c>
      <c r="AE104" s="226">
        <f t="shared" si="8"/>
        <v>0</v>
      </c>
      <c r="AF104" s="224">
        <f>'Emission Prices'!$D26</f>
        <v>1.6294227058993573</v>
      </c>
      <c r="AG104" s="226">
        <f t="shared" si="9"/>
        <v>0</v>
      </c>
      <c r="AH104" s="224">
        <f>'Emission Prices'!$B26</f>
        <v>88.49656852096903</v>
      </c>
      <c r="AI104" s="226">
        <f t="shared" si="10"/>
        <v>0</v>
      </c>
      <c r="AJ104" s="226">
        <f t="shared" si="11"/>
        <v>0</v>
      </c>
      <c r="AK104" s="225"/>
      <c r="AN104">
        <v>2028</v>
      </c>
      <c r="AO104" s="227">
        <f>'Summary Sheet'!$E$8</f>
        <v>0</v>
      </c>
      <c r="AP104" s="10">
        <f>'Summary Sheet'!$E$23</f>
        <v>0</v>
      </c>
      <c r="AQ104" s="224">
        <f>'Emission Prices'!$F26</f>
        <v>3.1955577863973796</v>
      </c>
      <c r="AR104" s="226">
        <f t="shared" si="12"/>
        <v>0</v>
      </c>
      <c r="AS104" s="224">
        <f>'Emission Prices'!$D26</f>
        <v>1.6294227058993573</v>
      </c>
      <c r="AT104" s="226">
        <f t="shared" si="13"/>
        <v>0</v>
      </c>
      <c r="AU104" s="224">
        <f>'Emission Prices'!$B26</f>
        <v>88.49656852096903</v>
      </c>
      <c r="AV104" s="226">
        <f t="shared" si="14"/>
        <v>0</v>
      </c>
      <c r="AW104" s="226">
        <f t="shared" si="15"/>
        <v>0</v>
      </c>
      <c r="AX104" s="225"/>
      <c r="BA104">
        <v>2028</v>
      </c>
      <c r="BB104" s="227">
        <f>'Summary Sheet'!$F$8</f>
        <v>0</v>
      </c>
      <c r="BC104" s="10">
        <f>'Summary Sheet'!$F$23</f>
        <v>0</v>
      </c>
      <c r="BD104" s="224">
        <f>'Emission Prices'!$F26</f>
        <v>3.1955577863973796</v>
      </c>
      <c r="BE104" s="226">
        <f t="shared" si="16"/>
        <v>0</v>
      </c>
      <c r="BF104" s="224">
        <f>'Emission Prices'!$D26</f>
        <v>1.6294227058993573</v>
      </c>
      <c r="BG104" s="226">
        <f t="shared" si="17"/>
        <v>0</v>
      </c>
      <c r="BH104" s="224">
        <f>'Emission Prices'!$B26</f>
        <v>88.49656852096903</v>
      </c>
      <c r="BI104" s="226">
        <f t="shared" si="18"/>
        <v>0</v>
      </c>
      <c r="BJ104" s="226">
        <f t="shared" si="19"/>
        <v>0</v>
      </c>
      <c r="BK104" s="225"/>
      <c r="BN104">
        <v>2028</v>
      </c>
      <c r="BO104" s="227">
        <f>'Summary Sheet'!$G$8</f>
        <v>0</v>
      </c>
      <c r="BP104" s="10">
        <f>'Summary Sheet'!$G$23</f>
        <v>0</v>
      </c>
      <c r="BQ104" s="224">
        <f>'Emission Prices'!$F26</f>
        <v>3.1955577863973796</v>
      </c>
      <c r="BR104" s="226">
        <f t="shared" si="20"/>
        <v>0</v>
      </c>
      <c r="BS104" s="224">
        <f>'Emission Prices'!$D26</f>
        <v>1.6294227058993573</v>
      </c>
      <c r="BT104" s="226">
        <f t="shared" si="21"/>
        <v>0</v>
      </c>
      <c r="BU104" s="224">
        <f>'Emission Prices'!$B26</f>
        <v>88.49656852096903</v>
      </c>
      <c r="BV104" s="226">
        <f t="shared" si="22"/>
        <v>0</v>
      </c>
      <c r="BW104" s="226">
        <f t="shared" si="23"/>
        <v>0</v>
      </c>
      <c r="BX104" s="225"/>
    </row>
    <row r="106" spans="4:76" ht="12.75">
      <c r="D106" t="s">
        <v>170</v>
      </c>
      <c r="J106" s="226">
        <f>SUM(J85:J104)</f>
        <v>0</v>
      </c>
      <c r="K106" s="226"/>
      <c r="Q106" t="s">
        <v>170</v>
      </c>
      <c r="W106" s="226">
        <f>SUM(W85:W104)</f>
        <v>0</v>
      </c>
      <c r="X106" s="226"/>
      <c r="AD106" t="s">
        <v>170</v>
      </c>
      <c r="AJ106" s="226">
        <f>SUM(AJ85:AJ104)</f>
        <v>0</v>
      </c>
      <c r="AK106" s="226"/>
      <c r="AQ106" t="s">
        <v>170</v>
      </c>
      <c r="AW106" s="226">
        <f>SUM(AW85:AW104)</f>
        <v>0</v>
      </c>
      <c r="AX106" s="226"/>
      <c r="BD106" t="s">
        <v>170</v>
      </c>
      <c r="BJ106" s="226">
        <f>SUM(BJ85:BJ104)</f>
        <v>0</v>
      </c>
      <c r="BK106" s="226"/>
      <c r="BQ106" t="s">
        <v>170</v>
      </c>
      <c r="BW106" s="226">
        <f>SUM(BW85:BW104)</f>
        <v>0</v>
      </c>
      <c r="BX106" s="226"/>
    </row>
    <row r="107" spans="4:76" ht="12.75">
      <c r="D107" t="s">
        <v>174</v>
      </c>
      <c r="J107" s="195">
        <f>NPV('Summary Sheet'!$B$67,J85:J104)</f>
        <v>0</v>
      </c>
      <c r="K107" s="195"/>
      <c r="Q107" t="s">
        <v>174</v>
      </c>
      <c r="W107" s="195">
        <f>NPV('Summary Sheet'!$C$67,W85:W104)</f>
        <v>0</v>
      </c>
      <c r="X107" s="195"/>
      <c r="AD107" t="s">
        <v>174</v>
      </c>
      <c r="AJ107" s="195">
        <f>NPV('Summary Sheet'!$D$67,AJ85:AJ104)</f>
        <v>0</v>
      </c>
      <c r="AK107" s="195"/>
      <c r="AQ107" t="s">
        <v>174</v>
      </c>
      <c r="AW107" s="195">
        <f>NPV('Summary Sheet'!$E$67,AW85:AW104)</f>
        <v>0</v>
      </c>
      <c r="AX107" s="195"/>
      <c r="BD107" t="s">
        <v>174</v>
      </c>
      <c r="BJ107" s="195">
        <f>NPV('Summary Sheet'!$F$67,BJ85:BJ104)</f>
        <v>0</v>
      </c>
      <c r="BK107" s="195"/>
      <c r="BQ107" t="s">
        <v>174</v>
      </c>
      <c r="BW107" s="195">
        <f>NPV('Summary Sheet'!$G$67,BW85:BW104)</f>
        <v>0</v>
      </c>
      <c r="BX107" s="195"/>
    </row>
    <row r="108" spans="8:76" ht="12.75">
      <c r="H108" s="195"/>
      <c r="I108" s="195"/>
      <c r="J108" s="195"/>
      <c r="K108" s="195"/>
      <c r="U108" s="195"/>
      <c r="V108" s="195"/>
      <c r="W108" s="195"/>
      <c r="X108" s="195"/>
      <c r="AH108" s="195"/>
      <c r="AI108" s="195"/>
      <c r="AJ108" s="195"/>
      <c r="AK108" s="195"/>
      <c r="AU108" s="195"/>
      <c r="AV108" s="195"/>
      <c r="AW108" s="195"/>
      <c r="AX108" s="195"/>
      <c r="BH108" s="195"/>
      <c r="BI108" s="195"/>
      <c r="BJ108" s="195"/>
      <c r="BK108" s="195"/>
      <c r="BU108" s="195"/>
      <c r="BV108" s="195"/>
      <c r="BW108" s="195"/>
      <c r="BX108" s="195"/>
    </row>
    <row r="110" spans="1:72" ht="12.75">
      <c r="A110" s="246" t="s">
        <v>739</v>
      </c>
      <c r="B110" s="246"/>
      <c r="C110" s="246"/>
      <c r="D110" s="246"/>
      <c r="E110" s="246"/>
      <c r="F110" s="246"/>
      <c r="G110" s="246"/>
      <c r="N110" s="246" t="s">
        <v>739</v>
      </c>
      <c r="O110" s="246"/>
      <c r="P110" s="246"/>
      <c r="Q110" s="246"/>
      <c r="R110" s="246"/>
      <c r="S110" s="246"/>
      <c r="T110" s="246"/>
      <c r="AA110" s="246" t="s">
        <v>739</v>
      </c>
      <c r="AB110" s="246"/>
      <c r="AC110" s="246"/>
      <c r="AD110" s="246"/>
      <c r="AE110" s="246"/>
      <c r="AF110" s="246"/>
      <c r="AG110" s="246"/>
      <c r="AN110" s="246" t="s">
        <v>739</v>
      </c>
      <c r="AO110" s="246"/>
      <c r="AP110" s="246"/>
      <c r="AQ110" s="246"/>
      <c r="AR110" s="246"/>
      <c r="AS110" s="246"/>
      <c r="AT110" s="246"/>
      <c r="BA110" s="246" t="s">
        <v>739</v>
      </c>
      <c r="BB110" s="246"/>
      <c r="BC110" s="246"/>
      <c r="BD110" s="246"/>
      <c r="BE110" s="246"/>
      <c r="BF110" s="246"/>
      <c r="BG110" s="246"/>
      <c r="BN110" s="246" t="s">
        <v>739</v>
      </c>
      <c r="BO110" s="246"/>
      <c r="BP110" s="246"/>
      <c r="BQ110" s="246"/>
      <c r="BR110" s="246"/>
      <c r="BS110" s="246"/>
      <c r="BT110" s="246"/>
    </row>
    <row r="111" spans="1:72" ht="38.25">
      <c r="A111" s="7" t="s">
        <v>159</v>
      </c>
      <c r="B111" s="7" t="s">
        <v>187</v>
      </c>
      <c r="C111" s="7" t="s">
        <v>188</v>
      </c>
      <c r="D111" s="7" t="s">
        <v>190</v>
      </c>
      <c r="E111" s="7" t="s">
        <v>191</v>
      </c>
      <c r="F111" s="7" t="s">
        <v>192</v>
      </c>
      <c r="G111" s="7" t="s">
        <v>193</v>
      </c>
      <c r="N111" s="7" t="s">
        <v>159</v>
      </c>
      <c r="O111" s="7" t="s">
        <v>187</v>
      </c>
      <c r="P111" s="7" t="s">
        <v>188</v>
      </c>
      <c r="Q111" s="7" t="s">
        <v>190</v>
      </c>
      <c r="R111" s="7" t="s">
        <v>191</v>
      </c>
      <c r="S111" s="7" t="s">
        <v>192</v>
      </c>
      <c r="T111" s="7" t="s">
        <v>193</v>
      </c>
      <c r="AA111" s="7" t="s">
        <v>159</v>
      </c>
      <c r="AB111" s="7" t="s">
        <v>187</v>
      </c>
      <c r="AC111" s="7" t="s">
        <v>188</v>
      </c>
      <c r="AD111" s="7" t="s">
        <v>190</v>
      </c>
      <c r="AE111" s="7" t="s">
        <v>191</v>
      </c>
      <c r="AF111" s="7" t="s">
        <v>192</v>
      </c>
      <c r="AG111" s="7" t="s">
        <v>193</v>
      </c>
      <c r="AN111" s="7" t="s">
        <v>159</v>
      </c>
      <c r="AO111" s="7" t="s">
        <v>187</v>
      </c>
      <c r="AP111" s="7" t="s">
        <v>188</v>
      </c>
      <c r="AQ111" s="7" t="s">
        <v>190</v>
      </c>
      <c r="AR111" s="7" t="s">
        <v>191</v>
      </c>
      <c r="AS111" s="7" t="s">
        <v>192</v>
      </c>
      <c r="AT111" s="7" t="s">
        <v>193</v>
      </c>
      <c r="BA111" s="7" t="s">
        <v>159</v>
      </c>
      <c r="BB111" s="7" t="s">
        <v>187</v>
      </c>
      <c r="BC111" s="7" t="s">
        <v>188</v>
      </c>
      <c r="BD111" s="7" t="s">
        <v>190</v>
      </c>
      <c r="BE111" s="7" t="s">
        <v>191</v>
      </c>
      <c r="BF111" s="7" t="s">
        <v>192</v>
      </c>
      <c r="BG111" s="7" t="s">
        <v>193</v>
      </c>
      <c r="BN111" s="7" t="s">
        <v>159</v>
      </c>
      <c r="BO111" s="7" t="s">
        <v>187</v>
      </c>
      <c r="BP111" s="7" t="s">
        <v>188</v>
      </c>
      <c r="BQ111" s="7" t="s">
        <v>190</v>
      </c>
      <c r="BR111" s="7" t="s">
        <v>191</v>
      </c>
      <c r="BS111" s="7" t="s">
        <v>192</v>
      </c>
      <c r="BT111" s="7" t="s">
        <v>193</v>
      </c>
    </row>
    <row r="112" spans="1:72" ht="12.75">
      <c r="A112">
        <v>2009</v>
      </c>
      <c r="B112" s="10" t="e">
        <f>('Summary Sheet'!$B$11-'Summary Sheet'!$B$12)+('Summary Sheet'!$B$13-'Summary Sheet'!$B$14)</f>
        <v>#DIV/0!</v>
      </c>
      <c r="C112" s="10" t="e">
        <f>('Summary Sheet'!$B$26-'Summary Sheet'!$B$27)</f>
        <v>#DIV/0!</v>
      </c>
      <c r="D112" s="227" t="e">
        <f>((B112*$K$114*'Summary Sheet'!$B$6)+(C112*$L$114*'Summary Sheet'!$B$6))</f>
        <v>#DIV/0!</v>
      </c>
      <c r="E112" s="227" t="e">
        <f>(B112*$K$115*'Summary Sheet'!$B$6)+(C112*$L$115*'Summary Sheet'!$B$6)</f>
        <v>#DIV/0!</v>
      </c>
      <c r="F112" s="227" t="e">
        <f>(B112*$K$116*'Summary Sheet'!$B$6)+(C112*$L$116*'Summary Sheet'!$B$6)</f>
        <v>#DIV/0!</v>
      </c>
      <c r="G112" s="229" t="e">
        <f>(B112*$K$117*'Summary Sheet'!$B$6)+(C112*$L$117*'Summary Sheet'!$B$6)</f>
        <v>#DIV/0!</v>
      </c>
      <c r="J112" s="243" t="s">
        <v>194</v>
      </c>
      <c r="K112" s="243"/>
      <c r="L112" s="243"/>
      <c r="N112">
        <v>2009</v>
      </c>
      <c r="O112" s="10">
        <v>0</v>
      </c>
      <c r="P112" s="10">
        <v>0</v>
      </c>
      <c r="Q112">
        <v>0</v>
      </c>
      <c r="R112">
        <v>0</v>
      </c>
      <c r="S112">
        <v>0</v>
      </c>
      <c r="T112">
        <f>((O112*$K$117)+(P112*$L$117))*'Summary Sheet'!$C$6</f>
        <v>0</v>
      </c>
      <c r="AA112">
        <v>2009</v>
      </c>
      <c r="AB112" s="10" t="e">
        <f>('Summary Sheet'!$D$11-'Summary Sheet'!$D$12)+('Summary Sheet'!$C$13-'Summary Sheet'!$D$14)</f>
        <v>#DIV/0!</v>
      </c>
      <c r="AC112" s="10" t="e">
        <f>('Summary Sheet'!$D$26-'Summary Sheet'!$D$27)</f>
        <v>#DIV/0!</v>
      </c>
      <c r="AD112" t="e">
        <f>((AB112*$K$114)+(AC112*$L$114))*'Summary Sheet'!$D$6</f>
        <v>#DIV/0!</v>
      </c>
      <c r="AE112" t="e">
        <f>((AB112*$K$115)+(AC112*$L$115))*'Summary Sheet'!$D$6</f>
        <v>#DIV/0!</v>
      </c>
      <c r="AF112" t="e">
        <f>((AB112*$K$116)+(AC112*$L$116))*'Summary Sheet'!$D$6</f>
        <v>#DIV/0!</v>
      </c>
      <c r="AG112" t="e">
        <f>((AB112*$K$117)+(AC112*$L$117))*'Summary Sheet'!$D$6</f>
        <v>#DIV/0!</v>
      </c>
      <c r="AN112">
        <v>2009</v>
      </c>
      <c r="AO112" s="10" t="e">
        <f>('Summary Sheet'!$E$11-'Summary Sheet'!$E$12)+('Summary Sheet'!$E$13-'Summary Sheet'!$E$14)</f>
        <v>#DIV/0!</v>
      </c>
      <c r="AP112" s="10" t="e">
        <f>('Summary Sheet'!$E$26-'Summary Sheet'!$E$27)</f>
        <v>#DIV/0!</v>
      </c>
      <c r="AQ112" t="e">
        <f>((AO112*$K$114)+(AP112*$L$114))*'Summary Sheet'!$E$6</f>
        <v>#DIV/0!</v>
      </c>
      <c r="AR112" t="e">
        <f>((AO112*$K$115)+(AP112*$L$115))*'Summary Sheet'!$E$6</f>
        <v>#DIV/0!</v>
      </c>
      <c r="AS112" t="e">
        <f>((AO112*$K$116)+(AP112*$L$116))*'Summary Sheet'!$E$6</f>
        <v>#DIV/0!</v>
      </c>
      <c r="AT112" t="e">
        <f>((AO112*$K$117)+(AP112*$L$117))*'Summary Sheet'!$E$6</f>
        <v>#DIV/0!</v>
      </c>
      <c r="BA112">
        <v>2009</v>
      </c>
      <c r="BB112" s="10" t="e">
        <f>('Summary Sheet'!$F$11-'Summary Sheet'!$F$12)+('Summary Sheet'!$F$13-'Summary Sheet'!$F$14)</f>
        <v>#DIV/0!</v>
      </c>
      <c r="BC112" s="10" t="e">
        <f>('Summary Sheet'!$F$26-'Summary Sheet'!$F$27)</f>
        <v>#DIV/0!</v>
      </c>
      <c r="BD112" t="e">
        <f>((BB112*$K$114)+(BC112*$L$114))*'Summary Sheet'!$F$6</f>
        <v>#DIV/0!</v>
      </c>
      <c r="BE112" t="e">
        <f>((BB112*$K$115)+(BC112*$L$115))*'Summary Sheet'!$F$6</f>
        <v>#DIV/0!</v>
      </c>
      <c r="BF112" t="e">
        <f>((BB112*$K$116)+(BC112*$L$116))*'Summary Sheet'!$F$6</f>
        <v>#DIV/0!</v>
      </c>
      <c r="BG112" t="e">
        <f>((BB112*$K$117)+(BC112*$L$117))*'Summary Sheet'!$F$6</f>
        <v>#DIV/0!</v>
      </c>
      <c r="BN112">
        <v>2009</v>
      </c>
      <c r="BO112" s="10" t="e">
        <f>('Summary Sheet'!$G$11-'Summary Sheet'!$G$12)+('Summary Sheet'!$G$13-'Summary Sheet'!$G$14)</f>
        <v>#DIV/0!</v>
      </c>
      <c r="BP112" s="10" t="e">
        <f>('Summary Sheet'!$G$26-'Summary Sheet'!$G$27)</f>
        <v>#DIV/0!</v>
      </c>
      <c r="BQ112" t="e">
        <f>((BO112*$K$114)+(BP112*$L$114))*'Summary Sheet'!$G$6</f>
        <v>#DIV/0!</v>
      </c>
      <c r="BR112" t="e">
        <f>((BO112*$K$115)+(BP112*$L$115))*'Summary Sheet'!$G$6</f>
        <v>#DIV/0!</v>
      </c>
      <c r="BS112" t="e">
        <f>((BO112*$K$116)+(BP112*$L$116))*'Summary Sheet'!$G$6</f>
        <v>#DIV/0!</v>
      </c>
      <c r="BT112" t="e">
        <f>((BO112*$K$117)+(BP112*$L$117))*'Summary Sheet'!$G$6</f>
        <v>#DIV/0!</v>
      </c>
    </row>
    <row r="113" spans="1:72" ht="12.75">
      <c r="A113">
        <v>2010</v>
      </c>
      <c r="B113" s="10" t="e">
        <f>('Summary Sheet'!$B$11-'Summary Sheet'!$B$12)+('Summary Sheet'!$B$13-'Summary Sheet'!$B$14)</f>
        <v>#DIV/0!</v>
      </c>
      <c r="C113" s="10" t="e">
        <f>('Summary Sheet'!$B$26-'Summary Sheet'!$B$27)</f>
        <v>#DIV/0!</v>
      </c>
      <c r="D113" s="227" t="e">
        <f>((B113*$K$114*'Summary Sheet'!$B$6)+(C113*$L$114*'Summary Sheet'!$B$6))</f>
        <v>#DIV/0!</v>
      </c>
      <c r="E113" s="227" t="e">
        <f>(B113*$K$115*'Summary Sheet'!$B$6)+(C113*$L$115*'Summary Sheet'!$B$6)</f>
        <v>#DIV/0!</v>
      </c>
      <c r="F113" s="227" t="e">
        <f>(B113*$K$116*'Summary Sheet'!$B$6)+(C113*$L$116*'Summary Sheet'!$B$6)</f>
        <v>#DIV/0!</v>
      </c>
      <c r="G113" s="229" t="e">
        <f>(B113*$K$117*'Summary Sheet'!$B$6)+(C113*$L$117*'Summary Sheet'!$B$6)</f>
        <v>#DIV/0!</v>
      </c>
      <c r="J113" s="6"/>
      <c r="K113" s="6" t="s">
        <v>813</v>
      </c>
      <c r="L113" t="s">
        <v>196</v>
      </c>
      <c r="N113">
        <v>2010</v>
      </c>
      <c r="O113" s="10" t="e">
        <f>('Summary Sheet'!$C$11-'Summary Sheet'!$C$12)+('Summary Sheet'!$C$13-'Summary Sheet'!$C$14)</f>
        <v>#DIV/0!</v>
      </c>
      <c r="P113" s="10" t="e">
        <f>('Summary Sheet'!$C$26-'Summary Sheet'!$C$27)</f>
        <v>#DIV/0!</v>
      </c>
      <c r="Q113" t="e">
        <f>((O113*$K$114)+(P113*$L$114))*'Summary Sheet'!$C$6</f>
        <v>#DIV/0!</v>
      </c>
      <c r="R113" t="e">
        <f>((O113*$K$115)+(P113*$L$115))*'Summary Sheet'!$C$6</f>
        <v>#DIV/0!</v>
      </c>
      <c r="S113" t="e">
        <f>((O113*$K$116)+(P113*$L$116))*'Summary Sheet'!$C$6</f>
        <v>#DIV/0!</v>
      </c>
      <c r="T113" t="e">
        <f>((O113*$K$117)+(P113*$L$117))*'Summary Sheet'!$C$6</f>
        <v>#DIV/0!</v>
      </c>
      <c r="AA113">
        <v>2010</v>
      </c>
      <c r="AB113" s="10" t="e">
        <f>('Summary Sheet'!$D$11-'Summary Sheet'!$D$12)+('Summary Sheet'!$C$13-'Summary Sheet'!$D$14)</f>
        <v>#DIV/0!</v>
      </c>
      <c r="AC113" s="10" t="e">
        <f>('Summary Sheet'!$D$26-'Summary Sheet'!$D$27)</f>
        <v>#DIV/0!</v>
      </c>
      <c r="AD113" t="e">
        <f>((AB113*$K$114)+(AC113*$L$114))*'Summary Sheet'!$D$6</f>
        <v>#DIV/0!</v>
      </c>
      <c r="AE113" t="e">
        <f>((AB113*$K$115)+(AC113*$L$115))*'Summary Sheet'!$D$6</f>
        <v>#DIV/0!</v>
      </c>
      <c r="AF113" t="e">
        <f>((AB113*$K$116)+(AC113*$L$116))*'Summary Sheet'!$D$6</f>
        <v>#DIV/0!</v>
      </c>
      <c r="AG113" t="e">
        <f>((AB113*$K$117)+(AC113*$L$117))*'Summary Sheet'!$D$6</f>
        <v>#DIV/0!</v>
      </c>
      <c r="AN113">
        <v>2010</v>
      </c>
      <c r="AO113" s="10" t="e">
        <f>('Summary Sheet'!$E$11-'Summary Sheet'!$E$12)+('Summary Sheet'!$E$13-'Summary Sheet'!$E$14)</f>
        <v>#DIV/0!</v>
      </c>
      <c r="AP113" s="10" t="e">
        <f>('Summary Sheet'!$E$26-'Summary Sheet'!$E$27)</f>
        <v>#DIV/0!</v>
      </c>
      <c r="AQ113" t="e">
        <f>((AO113*$K$114)+(AP113*$L$114))*'Summary Sheet'!$E$6</f>
        <v>#DIV/0!</v>
      </c>
      <c r="AR113" t="e">
        <f>((AO113*$K$115)+(AP113*$L$115))*'Summary Sheet'!$E$6</f>
        <v>#DIV/0!</v>
      </c>
      <c r="AS113" t="e">
        <f>((AO113*$K$116)+(AP113*$L$116))*'Summary Sheet'!$E$6</f>
        <v>#DIV/0!</v>
      </c>
      <c r="AT113" t="e">
        <f>((AO113*$K$117)+(AP113*$L$117))*'Summary Sheet'!$E$6</f>
        <v>#DIV/0!</v>
      </c>
      <c r="BA113">
        <v>2010</v>
      </c>
      <c r="BB113" s="10" t="e">
        <f>('Summary Sheet'!$F$11-'Summary Sheet'!$F$12)+('Summary Sheet'!$F$13-'Summary Sheet'!$F$14)</f>
        <v>#DIV/0!</v>
      </c>
      <c r="BC113" s="10" t="e">
        <f>('Summary Sheet'!$F$26-'Summary Sheet'!$F$27)</f>
        <v>#DIV/0!</v>
      </c>
      <c r="BD113" t="e">
        <f>((BB113*$K$114)+(BC113*$L$114))*'Summary Sheet'!$F$6</f>
        <v>#DIV/0!</v>
      </c>
      <c r="BE113" t="e">
        <f>((BB113*$K$115)+(BC113*$L$115))*'Summary Sheet'!$F$6</f>
        <v>#DIV/0!</v>
      </c>
      <c r="BF113" t="e">
        <f>((BB113*$K$116)+(BC113*$L$116))*'Summary Sheet'!$F$6</f>
        <v>#DIV/0!</v>
      </c>
      <c r="BG113" t="e">
        <f>((BB113*$K$117)+(BC113*$L$117))*'Summary Sheet'!$F$6</f>
        <v>#DIV/0!</v>
      </c>
      <c r="BN113">
        <v>2010</v>
      </c>
      <c r="BO113" s="10" t="e">
        <f>('Summary Sheet'!$G$11-'Summary Sheet'!$G$12)+('Summary Sheet'!$G$13-'Summary Sheet'!$G$14)</f>
        <v>#DIV/0!</v>
      </c>
      <c r="BP113" s="10" t="e">
        <f>('Summary Sheet'!$G$26-'Summary Sheet'!$G$27)</f>
        <v>#DIV/0!</v>
      </c>
      <c r="BQ113" t="e">
        <f>((BO113*$K$114)+(BP113*$L$114))*'Summary Sheet'!$G$6</f>
        <v>#DIV/0!</v>
      </c>
      <c r="BR113" t="e">
        <f>((BO113*$K$115)+(BP113*$L$115))*'Summary Sheet'!$G$6</f>
        <v>#DIV/0!</v>
      </c>
      <c r="BS113" t="e">
        <f>((BO113*$K$116)+(BP113*$L$116))*'Summary Sheet'!$G$6</f>
        <v>#DIV/0!</v>
      </c>
      <c r="BT113" t="e">
        <f>((BO113*$K$117)+(BP113*$L$117))*'Summary Sheet'!$G$6</f>
        <v>#DIV/0!</v>
      </c>
    </row>
    <row r="114" spans="1:72" ht="12.75">
      <c r="A114">
        <v>2011</v>
      </c>
      <c r="B114" s="10" t="e">
        <f>('Summary Sheet'!$B$11-'Summary Sheet'!$B$12)+('Summary Sheet'!$B$13-'Summary Sheet'!$B$14)</f>
        <v>#DIV/0!</v>
      </c>
      <c r="C114" s="10" t="e">
        <f>('Summary Sheet'!$B$26-'Summary Sheet'!$B$27)</f>
        <v>#DIV/0!</v>
      </c>
      <c r="D114" s="227" t="e">
        <f>((B114*$K$114*'Summary Sheet'!$B$6)+(C114*$L$114*'Summary Sheet'!$B$6))</f>
        <v>#DIV/0!</v>
      </c>
      <c r="E114" s="227" t="e">
        <f>(B114*$K$115*'Summary Sheet'!$B$6)+(C114*$L$115*'Summary Sheet'!$B$6)</f>
        <v>#DIV/0!</v>
      </c>
      <c r="F114" s="227" t="e">
        <f>(B114*$K$116*'Summary Sheet'!$B$6)+(C114*$L$116*'Summary Sheet'!$B$6)</f>
        <v>#DIV/0!</v>
      </c>
      <c r="G114" s="229" t="e">
        <f>(B114*$K$117*'Summary Sheet'!$B$6)+(C114*$L$117*'Summary Sheet'!$B$6)</f>
        <v>#DIV/0!</v>
      </c>
      <c r="J114" t="s">
        <v>151</v>
      </c>
      <c r="K114">
        <v>1251.7519</v>
      </c>
      <c r="L114">
        <v>11.7</v>
      </c>
      <c r="N114">
        <v>2011</v>
      </c>
      <c r="O114" s="10" t="e">
        <f>('Summary Sheet'!$C$11-'Summary Sheet'!$C$12)+('Summary Sheet'!$C$13-'Summary Sheet'!$C$14)</f>
        <v>#DIV/0!</v>
      </c>
      <c r="P114" s="10" t="e">
        <f>('Summary Sheet'!$C$26-'Summary Sheet'!$C$27)</f>
        <v>#DIV/0!</v>
      </c>
      <c r="Q114" t="e">
        <f>((O114*$K$114)+(P114*$L$114))*'Summary Sheet'!$C$6</f>
        <v>#DIV/0!</v>
      </c>
      <c r="R114" t="e">
        <f>((O114*$K$115)+(P114*$L$115))*'Summary Sheet'!$C$6</f>
        <v>#DIV/0!</v>
      </c>
      <c r="S114" t="e">
        <f>((O114*$K$116)+(P114*$L$116))*'Summary Sheet'!$C$6</f>
        <v>#DIV/0!</v>
      </c>
      <c r="T114" t="e">
        <f>((O114*$K$117)+(P114*$L$117))*'Summary Sheet'!$C$6</f>
        <v>#DIV/0!</v>
      </c>
      <c r="AA114">
        <v>2011</v>
      </c>
      <c r="AB114" s="10" t="e">
        <f>('Summary Sheet'!$D$11-'Summary Sheet'!$D$12)+('Summary Sheet'!$C$13-'Summary Sheet'!$D$14)</f>
        <v>#DIV/0!</v>
      </c>
      <c r="AC114" s="10" t="e">
        <f>('Summary Sheet'!$D$26-'Summary Sheet'!$D$27)</f>
        <v>#DIV/0!</v>
      </c>
      <c r="AD114" t="e">
        <f>((AB114*$K$114)+(AC114*$L$114))*'Summary Sheet'!$D$6</f>
        <v>#DIV/0!</v>
      </c>
      <c r="AE114" t="e">
        <f>((AB114*$K$115)+(AC114*$L$115))*'Summary Sheet'!$D$6</f>
        <v>#DIV/0!</v>
      </c>
      <c r="AF114" t="e">
        <f>((AB114*$K$116)+(AC114*$L$116))*'Summary Sheet'!$D$6</f>
        <v>#DIV/0!</v>
      </c>
      <c r="AG114" t="e">
        <f>((AB114*$K$117)+(AC114*$L$117))*'Summary Sheet'!$D$6</f>
        <v>#DIV/0!</v>
      </c>
      <c r="AN114">
        <v>2011</v>
      </c>
      <c r="AO114" s="10" t="e">
        <f>('Summary Sheet'!$E$11-'Summary Sheet'!$E$12)+('Summary Sheet'!$E$13-'Summary Sheet'!$E$14)</f>
        <v>#DIV/0!</v>
      </c>
      <c r="AP114" s="10" t="e">
        <f>('Summary Sheet'!$E$26-'Summary Sheet'!$E$27)</f>
        <v>#DIV/0!</v>
      </c>
      <c r="AQ114" t="e">
        <f>((AO114*$K$114)+(AP114*$L$114))*'Summary Sheet'!$E$6</f>
        <v>#DIV/0!</v>
      </c>
      <c r="AR114" t="e">
        <f>((AO114*$K$115)+(AP114*$L$115))*'Summary Sheet'!$E$6</f>
        <v>#DIV/0!</v>
      </c>
      <c r="AS114" t="e">
        <f>((AO114*$K$116)+(AP114*$L$116))*'Summary Sheet'!$E$6</f>
        <v>#DIV/0!</v>
      </c>
      <c r="AT114" t="e">
        <f>((AO114*$K$117)+(AP114*$L$117))*'Summary Sheet'!$E$6</f>
        <v>#DIV/0!</v>
      </c>
      <c r="BA114">
        <v>2011</v>
      </c>
      <c r="BB114" s="10" t="e">
        <f>('Summary Sheet'!$F$11-'Summary Sheet'!$F$12)+('Summary Sheet'!$F$13-'Summary Sheet'!$F$14)</f>
        <v>#DIV/0!</v>
      </c>
      <c r="BC114" s="10" t="e">
        <f>('Summary Sheet'!$F$26-'Summary Sheet'!$F$27)</f>
        <v>#DIV/0!</v>
      </c>
      <c r="BD114" t="e">
        <f>((BB114*$K$114)+(BC114*$L$114))*'Summary Sheet'!$F$6</f>
        <v>#DIV/0!</v>
      </c>
      <c r="BE114" t="e">
        <f>((BB114*$K$115)+(BC114*$L$115))*'Summary Sheet'!$F$6</f>
        <v>#DIV/0!</v>
      </c>
      <c r="BF114" t="e">
        <f>((BB114*$K$116)+(BC114*$L$116))*'Summary Sheet'!$F$6</f>
        <v>#DIV/0!</v>
      </c>
      <c r="BG114" t="e">
        <f>((BB114*$K$117)+(BC114*$L$117))*'Summary Sheet'!$F$6</f>
        <v>#DIV/0!</v>
      </c>
      <c r="BN114">
        <v>2011</v>
      </c>
      <c r="BO114" s="10" t="e">
        <f>('Summary Sheet'!$G$11-'Summary Sheet'!$G$12)+('Summary Sheet'!$G$13-'Summary Sheet'!$G$14)</f>
        <v>#DIV/0!</v>
      </c>
      <c r="BP114" s="10" t="e">
        <f>('Summary Sheet'!$G$26-'Summary Sheet'!$G$27)</f>
        <v>#DIV/0!</v>
      </c>
      <c r="BQ114" t="e">
        <f>((BO114*$K$114)+(BP114*$L$114))*'Summary Sheet'!$G$6</f>
        <v>#DIV/0!</v>
      </c>
      <c r="BR114" t="e">
        <f>((BO114*$K$115)+(BP114*$L$115))*'Summary Sheet'!$G$6</f>
        <v>#DIV/0!</v>
      </c>
      <c r="BS114" t="e">
        <f>((BO114*$K$116)+(BP114*$L$116))*'Summary Sheet'!$G$6</f>
        <v>#DIV/0!</v>
      </c>
      <c r="BT114" t="e">
        <f>((BO114*$K$117)+(BP114*$L$117))*'Summary Sheet'!$G$6</f>
        <v>#DIV/0!</v>
      </c>
    </row>
    <row r="115" spans="1:72" ht="12.75">
      <c r="A115">
        <v>2012</v>
      </c>
      <c r="B115" s="10" t="e">
        <f>('Summary Sheet'!$B$11-'Summary Sheet'!$B$12)+('Summary Sheet'!$B$13-'Summary Sheet'!$B$14)</f>
        <v>#DIV/0!</v>
      </c>
      <c r="C115" s="10" t="e">
        <f>('Summary Sheet'!$B$26-'Summary Sheet'!$B$27)</f>
        <v>#DIV/0!</v>
      </c>
      <c r="D115" s="227" t="e">
        <f>((B115*$K$114*'Summary Sheet'!$B$6)+(C115*$L$114*'Summary Sheet'!$B$6))</f>
        <v>#DIV/0!</v>
      </c>
      <c r="E115" s="227" t="e">
        <f>(B115*$K$115*'Summary Sheet'!$B$6)+(C115*$L$115*'Summary Sheet'!$B$6)</f>
        <v>#DIV/0!</v>
      </c>
      <c r="F115" s="227" t="e">
        <f>(B115*$K$116*'Summary Sheet'!$B$6)+(C115*$L$116*'Summary Sheet'!$B$6)</f>
        <v>#DIV/0!</v>
      </c>
      <c r="G115" s="229" t="e">
        <f>(B115*$K$117*'Summary Sheet'!$B$6)+(C115*$L$117*'Summary Sheet'!$B$6)</f>
        <v>#DIV/0!</v>
      </c>
      <c r="J115" t="s">
        <v>157</v>
      </c>
      <c r="K115">
        <v>2.2145</v>
      </c>
      <c r="L115">
        <v>0.0092</v>
      </c>
      <c r="N115">
        <v>2012</v>
      </c>
      <c r="O115" s="10" t="e">
        <f>('Summary Sheet'!$C$11-'Summary Sheet'!$C$12)+('Summary Sheet'!$C$13-'Summary Sheet'!$C$14)</f>
        <v>#DIV/0!</v>
      </c>
      <c r="P115" s="10" t="e">
        <f>('Summary Sheet'!$C$26-'Summary Sheet'!$C$27)</f>
        <v>#DIV/0!</v>
      </c>
      <c r="Q115" t="e">
        <f>((O115*$K$114)+(P115*$L$114))*'Summary Sheet'!$C$6</f>
        <v>#DIV/0!</v>
      </c>
      <c r="R115" t="e">
        <f>((O115*$K$115)+(P115*$L$115))*'Summary Sheet'!$C$6</f>
        <v>#DIV/0!</v>
      </c>
      <c r="S115" t="e">
        <f>((O115*$K$116)+(P115*$L$116))*'Summary Sheet'!$C$6</f>
        <v>#DIV/0!</v>
      </c>
      <c r="T115" t="e">
        <f>((O115*$K$117)+(P115*$L$117))*'Summary Sheet'!$C$6</f>
        <v>#DIV/0!</v>
      </c>
      <c r="AA115">
        <v>2012</v>
      </c>
      <c r="AB115" s="10" t="e">
        <f>('Summary Sheet'!$D$11-'Summary Sheet'!$D$12)+('Summary Sheet'!$C$13-'Summary Sheet'!$D$14)</f>
        <v>#DIV/0!</v>
      </c>
      <c r="AC115" s="10" t="e">
        <f>('Summary Sheet'!$D$26-'Summary Sheet'!$D$27)</f>
        <v>#DIV/0!</v>
      </c>
      <c r="AD115" t="e">
        <f>((AB115*$K$114)+(AC115*$L$114))*'Summary Sheet'!$D$6</f>
        <v>#DIV/0!</v>
      </c>
      <c r="AE115" t="e">
        <f>((AB115*$K$115)+(AC115*$L$115))*'Summary Sheet'!$D$6</f>
        <v>#DIV/0!</v>
      </c>
      <c r="AF115" t="e">
        <f>((AB115*$K$116)+(AC115*$L$116))*'Summary Sheet'!$D$6</f>
        <v>#DIV/0!</v>
      </c>
      <c r="AG115" t="e">
        <f>((AB115*$K$117)+(AC115*$L$117))*'Summary Sheet'!$D$6</f>
        <v>#DIV/0!</v>
      </c>
      <c r="AN115">
        <v>2012</v>
      </c>
      <c r="AO115" s="10" t="e">
        <f>('Summary Sheet'!$E$11-'Summary Sheet'!$E$12)+('Summary Sheet'!$E$13-'Summary Sheet'!$E$14)</f>
        <v>#DIV/0!</v>
      </c>
      <c r="AP115" s="10" t="e">
        <f>('Summary Sheet'!$E$26-'Summary Sheet'!$E$27)</f>
        <v>#DIV/0!</v>
      </c>
      <c r="AQ115" t="e">
        <f>((AO115*$K$114)+(AP115*$L$114))*'Summary Sheet'!$E$6</f>
        <v>#DIV/0!</v>
      </c>
      <c r="AR115" t="e">
        <f>((AO115*$K$115)+(AP115*$L$115))*'Summary Sheet'!$E$6</f>
        <v>#DIV/0!</v>
      </c>
      <c r="AS115" t="e">
        <f>((AO115*$K$116)+(AP115*$L$116))*'Summary Sheet'!$E$6</f>
        <v>#DIV/0!</v>
      </c>
      <c r="AT115" t="e">
        <f>((AO115*$K$117)+(AP115*$L$117))*'Summary Sheet'!$E$6</f>
        <v>#DIV/0!</v>
      </c>
      <c r="BA115">
        <v>2012</v>
      </c>
      <c r="BB115" s="10" t="e">
        <f>('Summary Sheet'!$F$11-'Summary Sheet'!$F$12)+('Summary Sheet'!$F$13-'Summary Sheet'!$F$14)</f>
        <v>#DIV/0!</v>
      </c>
      <c r="BC115" s="10" t="e">
        <f>('Summary Sheet'!$F$26-'Summary Sheet'!$F$27)</f>
        <v>#DIV/0!</v>
      </c>
      <c r="BD115" t="e">
        <f>((BB115*$K$114)+(BC115*$L$114))*'Summary Sheet'!$F$6</f>
        <v>#DIV/0!</v>
      </c>
      <c r="BE115" t="e">
        <f>((BB115*$K$115)+(BC115*$L$115))*'Summary Sheet'!$F$6</f>
        <v>#DIV/0!</v>
      </c>
      <c r="BF115" t="e">
        <f>((BB115*$K$116)+(BC115*$L$116))*'Summary Sheet'!$F$6</f>
        <v>#DIV/0!</v>
      </c>
      <c r="BG115" t="e">
        <f>((BB115*$K$117)+(BC115*$L$117))*'Summary Sheet'!$F$6</f>
        <v>#DIV/0!</v>
      </c>
      <c r="BN115">
        <v>2012</v>
      </c>
      <c r="BO115" s="10" t="e">
        <f>('Summary Sheet'!$G$11-'Summary Sheet'!$G$12)+('Summary Sheet'!$G$13-'Summary Sheet'!$G$14)</f>
        <v>#DIV/0!</v>
      </c>
      <c r="BP115" s="10" t="e">
        <f>('Summary Sheet'!$G$26-'Summary Sheet'!$G$27)</f>
        <v>#DIV/0!</v>
      </c>
      <c r="BQ115" t="e">
        <f>((BO115*$K$114)+(BP115*$L$114))*'Summary Sheet'!$G$6</f>
        <v>#DIV/0!</v>
      </c>
      <c r="BR115" t="e">
        <f>((BO115*$K$115)+(BP115*$L$115))*'Summary Sheet'!$G$6</f>
        <v>#DIV/0!</v>
      </c>
      <c r="BS115" t="e">
        <f>((BO115*$K$116)+(BP115*$L$116))*'Summary Sheet'!$G$6</f>
        <v>#DIV/0!</v>
      </c>
      <c r="BT115" t="e">
        <f>((BO115*$K$117)+(BP115*$L$117))*'Summary Sheet'!$G$6</f>
        <v>#DIV/0!</v>
      </c>
    </row>
    <row r="116" spans="1:72" ht="12.75">
      <c r="A116">
        <v>2013</v>
      </c>
      <c r="B116" s="10" t="e">
        <f>('Summary Sheet'!$B$11-'Summary Sheet'!$B$12)+('Summary Sheet'!$B$13-'Summary Sheet'!$B$14)</f>
        <v>#DIV/0!</v>
      </c>
      <c r="C116" s="10" t="e">
        <f>('Summary Sheet'!$B$26-'Summary Sheet'!$B$27)</f>
        <v>#DIV/0!</v>
      </c>
      <c r="D116" s="227" t="e">
        <f>((B116*$K$114*'Summary Sheet'!$B$6)+(C116*$L$114*'Summary Sheet'!$B$6))</f>
        <v>#DIV/0!</v>
      </c>
      <c r="E116" s="227" t="e">
        <f>(B116*$K$115*'Summary Sheet'!$B$6)+(C116*$L$115*'Summary Sheet'!$B$6)</f>
        <v>#DIV/0!</v>
      </c>
      <c r="F116" s="227" t="e">
        <f>(B116*$K$116*'Summary Sheet'!$B$6)+(C116*$L$116*'Summary Sheet'!$B$6)</f>
        <v>#DIV/0!</v>
      </c>
      <c r="G116" s="229" t="e">
        <f>(B116*$K$117*'Summary Sheet'!$B$6)+(C116*$L$117*'Summary Sheet'!$B$6)</f>
        <v>#DIV/0!</v>
      </c>
      <c r="J116" t="s">
        <v>152</v>
      </c>
      <c r="K116">
        <v>7.9886</v>
      </c>
      <c r="N116">
        <v>2013</v>
      </c>
      <c r="O116" s="10" t="e">
        <f>('Summary Sheet'!$C$11-'Summary Sheet'!$C$12)+('Summary Sheet'!$C$13-'Summary Sheet'!$C$14)</f>
        <v>#DIV/0!</v>
      </c>
      <c r="P116" s="10" t="e">
        <f>('Summary Sheet'!$C$26-'Summary Sheet'!$C$27)</f>
        <v>#DIV/0!</v>
      </c>
      <c r="Q116" t="e">
        <f>((O116*$K$114)+(P116*$L$114))*'Summary Sheet'!$C$6</f>
        <v>#DIV/0!</v>
      </c>
      <c r="R116" t="e">
        <f>((O116*$K$115)+(P116*$L$115))*'Summary Sheet'!$C$6</f>
        <v>#DIV/0!</v>
      </c>
      <c r="S116" t="e">
        <f>((O116*$K$116)+(P116*$L$116))*'Summary Sheet'!$C$6</f>
        <v>#DIV/0!</v>
      </c>
      <c r="T116" t="e">
        <f>((O116*$K$117)+(P116*$L$117))*'Summary Sheet'!$C$6</f>
        <v>#DIV/0!</v>
      </c>
      <c r="AA116">
        <v>2013</v>
      </c>
      <c r="AB116" s="10" t="e">
        <f>('Summary Sheet'!$D$11-'Summary Sheet'!$D$12)+('Summary Sheet'!$C$13-'Summary Sheet'!$D$14)</f>
        <v>#DIV/0!</v>
      </c>
      <c r="AC116" s="10" t="e">
        <f>('Summary Sheet'!$D$26-'Summary Sheet'!$D$27)</f>
        <v>#DIV/0!</v>
      </c>
      <c r="AD116" t="e">
        <f>((AB116*$K$114)+(AC116*$L$114))*'Summary Sheet'!$D$6</f>
        <v>#DIV/0!</v>
      </c>
      <c r="AE116" t="e">
        <f>((AB116*$K$115)+(AC116*$L$115))*'Summary Sheet'!$D$6</f>
        <v>#DIV/0!</v>
      </c>
      <c r="AF116" t="e">
        <f>((AB116*$K$116)+(AC116*$L$116))*'Summary Sheet'!$D$6</f>
        <v>#DIV/0!</v>
      </c>
      <c r="AG116" t="e">
        <f>((AB116*$K$117)+(AC116*$L$117))*'Summary Sheet'!$D$6</f>
        <v>#DIV/0!</v>
      </c>
      <c r="AN116">
        <v>2013</v>
      </c>
      <c r="AO116" s="10" t="e">
        <f>('Summary Sheet'!$E$11-'Summary Sheet'!$E$12)+('Summary Sheet'!$E$13-'Summary Sheet'!$E$14)</f>
        <v>#DIV/0!</v>
      </c>
      <c r="AP116" s="10" t="e">
        <f>('Summary Sheet'!$E$26-'Summary Sheet'!$E$27)</f>
        <v>#DIV/0!</v>
      </c>
      <c r="AQ116" t="e">
        <f>((AO116*$K$114)+(AP116*$L$114))*'Summary Sheet'!$E$6</f>
        <v>#DIV/0!</v>
      </c>
      <c r="AR116" t="e">
        <f>((AO116*$K$115)+(AP116*$L$115))*'Summary Sheet'!$E$6</f>
        <v>#DIV/0!</v>
      </c>
      <c r="AS116" t="e">
        <f>((AO116*$K$116)+(AP116*$L$116))*'Summary Sheet'!$E$6</f>
        <v>#DIV/0!</v>
      </c>
      <c r="AT116" t="e">
        <f>((AO116*$K$117)+(AP116*$L$117))*'Summary Sheet'!$E$6</f>
        <v>#DIV/0!</v>
      </c>
      <c r="BA116">
        <v>2013</v>
      </c>
      <c r="BB116" s="10" t="e">
        <f>('Summary Sheet'!$F$11-'Summary Sheet'!$F$12)+('Summary Sheet'!$F$13-'Summary Sheet'!$F$14)</f>
        <v>#DIV/0!</v>
      </c>
      <c r="BC116" s="10" t="e">
        <f>('Summary Sheet'!$F$26-'Summary Sheet'!$F$27)</f>
        <v>#DIV/0!</v>
      </c>
      <c r="BD116" t="e">
        <f>((BB116*$K$114)+(BC116*$L$114))*'Summary Sheet'!$F$6</f>
        <v>#DIV/0!</v>
      </c>
      <c r="BE116" t="e">
        <f>((BB116*$K$115)+(BC116*$L$115))*'Summary Sheet'!$F$6</f>
        <v>#DIV/0!</v>
      </c>
      <c r="BF116" t="e">
        <f>((BB116*$K$116)+(BC116*$L$116))*'Summary Sheet'!$F$6</f>
        <v>#DIV/0!</v>
      </c>
      <c r="BG116" t="e">
        <f>((BB116*$K$117)+(BC116*$L$117))*'Summary Sheet'!$F$6</f>
        <v>#DIV/0!</v>
      </c>
      <c r="BN116">
        <v>2013</v>
      </c>
      <c r="BO116" s="10" t="e">
        <f>('Summary Sheet'!$G$11-'Summary Sheet'!$G$12)+('Summary Sheet'!$G$13-'Summary Sheet'!$G$14)</f>
        <v>#DIV/0!</v>
      </c>
      <c r="BP116" s="10" t="e">
        <f>('Summary Sheet'!$G$26-'Summary Sheet'!$G$27)</f>
        <v>#DIV/0!</v>
      </c>
      <c r="BQ116" t="e">
        <f>((BO116*$K$114)+(BP116*$L$114))*'Summary Sheet'!$G$6</f>
        <v>#DIV/0!</v>
      </c>
      <c r="BR116" t="e">
        <f>((BO116*$K$115)+(BP116*$L$115))*'Summary Sheet'!$G$6</f>
        <v>#DIV/0!</v>
      </c>
      <c r="BS116" t="e">
        <f>((BO116*$K$116)+(BP116*$L$116))*'Summary Sheet'!$G$6</f>
        <v>#DIV/0!</v>
      </c>
      <c r="BT116" t="e">
        <f>((BO116*$K$117)+(BP116*$L$117))*'Summary Sheet'!$G$6</f>
        <v>#DIV/0!</v>
      </c>
    </row>
    <row r="117" spans="1:72" ht="12.75">
      <c r="A117">
        <v>2014</v>
      </c>
      <c r="B117" s="10" t="e">
        <f>('Summary Sheet'!$B$11-'Summary Sheet'!$B$12)+('Summary Sheet'!$B$13-'Summary Sheet'!$B$14)</f>
        <v>#DIV/0!</v>
      </c>
      <c r="C117" s="10" t="e">
        <f>('Summary Sheet'!$B$26-'Summary Sheet'!$B$27)</f>
        <v>#DIV/0!</v>
      </c>
      <c r="D117" s="227" t="e">
        <f>((B117*$K$114*'Summary Sheet'!$B$6)+(C117*$L$114*'Summary Sheet'!$B$6))</f>
        <v>#DIV/0!</v>
      </c>
      <c r="E117" s="227" t="e">
        <f>(B117*$K$115*'Summary Sheet'!$B$6)+(C117*$L$115*'Summary Sheet'!$B$6)</f>
        <v>#DIV/0!</v>
      </c>
      <c r="F117" s="227" t="e">
        <f>(B117*$K$116*'Summary Sheet'!$B$6)+(C117*$L$116*'Summary Sheet'!$B$6)</f>
        <v>#DIV/0!</v>
      </c>
      <c r="G117" s="229" t="e">
        <f>(B117*$K$117*'Summary Sheet'!$B$6)+(C117*$L$117*'Summary Sheet'!$B$6)</f>
        <v>#DIV/0!</v>
      </c>
      <c r="J117" t="s">
        <v>153</v>
      </c>
      <c r="K117">
        <v>3.56E-05</v>
      </c>
      <c r="N117">
        <v>2014</v>
      </c>
      <c r="O117" s="10" t="e">
        <f>('Summary Sheet'!$C$11-'Summary Sheet'!$C$12)+('Summary Sheet'!$C$13-'Summary Sheet'!$C$14)</f>
        <v>#DIV/0!</v>
      </c>
      <c r="P117" s="10" t="e">
        <f>('Summary Sheet'!$C$26-'Summary Sheet'!$C$27)</f>
        <v>#DIV/0!</v>
      </c>
      <c r="Q117" t="e">
        <f>((O117*$K$114)+(P117*$L$114))*'Summary Sheet'!$C$6</f>
        <v>#DIV/0!</v>
      </c>
      <c r="R117" t="e">
        <f>((O117*$K$115)+(P117*$L$115))*'Summary Sheet'!$C$6</f>
        <v>#DIV/0!</v>
      </c>
      <c r="S117" t="e">
        <f>((O117*$K$116)+(P117*$L$116))*'Summary Sheet'!$C$6</f>
        <v>#DIV/0!</v>
      </c>
      <c r="T117" t="e">
        <f>((O117*$K$117)+(P117*$L$117))*'Summary Sheet'!$C$6</f>
        <v>#DIV/0!</v>
      </c>
      <c r="AA117">
        <v>2014</v>
      </c>
      <c r="AB117" s="10" t="e">
        <f>('Summary Sheet'!$D$11-'Summary Sheet'!$D$12)+('Summary Sheet'!$C$13-'Summary Sheet'!$D$14)</f>
        <v>#DIV/0!</v>
      </c>
      <c r="AC117" s="10" t="e">
        <f>('Summary Sheet'!$D$26-'Summary Sheet'!$D$27)</f>
        <v>#DIV/0!</v>
      </c>
      <c r="AD117" t="e">
        <f>((AB117*$K$114)+(AC117*$L$114))*'Summary Sheet'!$D$6</f>
        <v>#DIV/0!</v>
      </c>
      <c r="AE117" t="e">
        <f>((AB117*$K$115)+(AC117*$L$115))*'Summary Sheet'!$D$6</f>
        <v>#DIV/0!</v>
      </c>
      <c r="AF117" t="e">
        <f>((AB117*$K$116)+(AC117*$L$116))*'Summary Sheet'!$D$6</f>
        <v>#DIV/0!</v>
      </c>
      <c r="AG117" t="e">
        <f>((AB117*$K$117)+(AC117*$L$117))*'Summary Sheet'!$D$6</f>
        <v>#DIV/0!</v>
      </c>
      <c r="AN117">
        <v>2014</v>
      </c>
      <c r="AO117" s="10" t="e">
        <f>('Summary Sheet'!$E$11-'Summary Sheet'!$E$12)+('Summary Sheet'!$E$13-'Summary Sheet'!$E$14)</f>
        <v>#DIV/0!</v>
      </c>
      <c r="AP117" s="10" t="e">
        <f>('Summary Sheet'!$E$26-'Summary Sheet'!$E$27)</f>
        <v>#DIV/0!</v>
      </c>
      <c r="AQ117" t="e">
        <f>((AO117*$K$114)+(AP117*$L$114))*'Summary Sheet'!$E$6</f>
        <v>#DIV/0!</v>
      </c>
      <c r="AR117" t="e">
        <f>((AO117*$K$115)+(AP117*$L$115))*'Summary Sheet'!$E$6</f>
        <v>#DIV/0!</v>
      </c>
      <c r="AS117" t="e">
        <f>((AO117*$K$116)+(AP117*$L$116))*'Summary Sheet'!$E$6</f>
        <v>#DIV/0!</v>
      </c>
      <c r="AT117" t="e">
        <f>((AO117*$K$117)+(AP117*$L$117))*'Summary Sheet'!$E$6</f>
        <v>#DIV/0!</v>
      </c>
      <c r="BA117">
        <v>2014</v>
      </c>
      <c r="BB117" s="10" t="e">
        <f>('Summary Sheet'!$F$11-'Summary Sheet'!$F$12)+('Summary Sheet'!$F$13-'Summary Sheet'!$F$14)</f>
        <v>#DIV/0!</v>
      </c>
      <c r="BC117" s="10" t="e">
        <f>('Summary Sheet'!$F$26-'Summary Sheet'!$F$27)</f>
        <v>#DIV/0!</v>
      </c>
      <c r="BD117" t="e">
        <f>((BB117*$K$114)+(BC117*$L$114))*'Summary Sheet'!$F$6</f>
        <v>#DIV/0!</v>
      </c>
      <c r="BE117" t="e">
        <f>((BB117*$K$115)+(BC117*$L$115))*'Summary Sheet'!$F$6</f>
        <v>#DIV/0!</v>
      </c>
      <c r="BF117" t="e">
        <f>((BB117*$K$116)+(BC117*$L$116))*'Summary Sheet'!$F$6</f>
        <v>#DIV/0!</v>
      </c>
      <c r="BG117" t="e">
        <f>((BB117*$K$117)+(BC117*$L$117))*'Summary Sheet'!$F$6</f>
        <v>#DIV/0!</v>
      </c>
      <c r="BN117">
        <v>2014</v>
      </c>
      <c r="BO117" s="10" t="e">
        <f>('Summary Sheet'!$G$11-'Summary Sheet'!$G$12)+('Summary Sheet'!$G$13-'Summary Sheet'!$G$14)</f>
        <v>#DIV/0!</v>
      </c>
      <c r="BP117" s="10" t="e">
        <f>('Summary Sheet'!$G$26-'Summary Sheet'!$G$27)</f>
        <v>#DIV/0!</v>
      </c>
      <c r="BQ117" t="e">
        <f>((BO117*$K$114)+(BP117*$L$114))*'Summary Sheet'!$G$6</f>
        <v>#DIV/0!</v>
      </c>
      <c r="BR117" t="e">
        <f>((BO117*$K$115)+(BP117*$L$115))*'Summary Sheet'!$G$6</f>
        <v>#DIV/0!</v>
      </c>
      <c r="BS117" t="e">
        <f>((BO117*$K$116)+(BP117*$L$116))*'Summary Sheet'!$G$6</f>
        <v>#DIV/0!</v>
      </c>
      <c r="BT117" t="e">
        <f>((BO117*$K$117)+(BP117*$L$117))*'Summary Sheet'!$G$6</f>
        <v>#DIV/0!</v>
      </c>
    </row>
    <row r="118" spans="1:72" ht="12.75">
      <c r="A118">
        <v>2015</v>
      </c>
      <c r="B118" s="10" t="e">
        <f>('Summary Sheet'!$B$11-'Summary Sheet'!$B$12)+('Summary Sheet'!$B$13-'Summary Sheet'!$B$14)</f>
        <v>#DIV/0!</v>
      </c>
      <c r="C118" s="10" t="e">
        <f>('Summary Sheet'!$B$26-'Summary Sheet'!$B$27)</f>
        <v>#DIV/0!</v>
      </c>
      <c r="D118" s="227" t="e">
        <f>((B118*$K$114*'Summary Sheet'!$B$6)+(C118*$L$114*'Summary Sheet'!$B$6))</f>
        <v>#DIV/0!</v>
      </c>
      <c r="E118" s="227" t="e">
        <f>(B118*$K$115*'Summary Sheet'!$B$6)+(C118*$L$115*'Summary Sheet'!$B$6)</f>
        <v>#DIV/0!</v>
      </c>
      <c r="F118" s="227" t="e">
        <f>(B118*$K$116*'Summary Sheet'!$B$6)+(C118*$L$116*'Summary Sheet'!$B$6)</f>
        <v>#DIV/0!</v>
      </c>
      <c r="G118" s="229" t="e">
        <f>(B118*$K$117*'Summary Sheet'!$B$6)+(C118*$L$117*'Summary Sheet'!$B$6)</f>
        <v>#DIV/0!</v>
      </c>
      <c r="N118">
        <v>2015</v>
      </c>
      <c r="O118" s="10" t="e">
        <f>('Summary Sheet'!$C$11-'Summary Sheet'!$C$12)+('Summary Sheet'!$C$13-'Summary Sheet'!$C$14)</f>
        <v>#DIV/0!</v>
      </c>
      <c r="P118" s="10" t="e">
        <f>('Summary Sheet'!$C$26-'Summary Sheet'!$C$27)</f>
        <v>#DIV/0!</v>
      </c>
      <c r="Q118" t="e">
        <f>((O118*$K$114)+(P118*$L$114))*'Summary Sheet'!$C$6</f>
        <v>#DIV/0!</v>
      </c>
      <c r="R118" t="e">
        <f>((O118*$K$115)+(P118*$L$115))*'Summary Sheet'!$C$6</f>
        <v>#DIV/0!</v>
      </c>
      <c r="S118" t="e">
        <f>((O118*$K$116)+(P118*$L$116))*'Summary Sheet'!$C$6</f>
        <v>#DIV/0!</v>
      </c>
      <c r="T118" t="e">
        <f>((O118*$K$117)+(P118*$L$117))*'Summary Sheet'!$C$6</f>
        <v>#DIV/0!</v>
      </c>
      <c r="AA118">
        <v>2015</v>
      </c>
      <c r="AB118" s="10" t="e">
        <f>('Summary Sheet'!$D$11-'Summary Sheet'!$D$12)+('Summary Sheet'!$C$13-'Summary Sheet'!$D$14)</f>
        <v>#DIV/0!</v>
      </c>
      <c r="AC118" s="10" t="e">
        <f>('Summary Sheet'!$D$26-'Summary Sheet'!$D$27)</f>
        <v>#DIV/0!</v>
      </c>
      <c r="AD118" t="e">
        <f>((AB118*$K$114)+(AC118*$L$114))*'Summary Sheet'!$D$6</f>
        <v>#DIV/0!</v>
      </c>
      <c r="AE118" t="e">
        <f>((AB118*$K$115)+(AC118*$L$115))*'Summary Sheet'!$D$6</f>
        <v>#DIV/0!</v>
      </c>
      <c r="AF118" t="e">
        <f>((AB118*$K$116)+(AC118*$L$116))*'Summary Sheet'!$D$6</f>
        <v>#DIV/0!</v>
      </c>
      <c r="AG118" t="e">
        <f>((AB118*$K$117)+(AC118*$L$117))*'Summary Sheet'!$D$6</f>
        <v>#DIV/0!</v>
      </c>
      <c r="AN118">
        <v>2015</v>
      </c>
      <c r="AO118" s="10" t="e">
        <f>('Summary Sheet'!$E$11-'Summary Sheet'!$E$12)+('Summary Sheet'!$E$13-'Summary Sheet'!$E$14)</f>
        <v>#DIV/0!</v>
      </c>
      <c r="AP118" s="10" t="e">
        <f>('Summary Sheet'!$E$26-'Summary Sheet'!$E$27)</f>
        <v>#DIV/0!</v>
      </c>
      <c r="AQ118" t="e">
        <f>((AO118*$K$114)+(AP118*$L$114))*'Summary Sheet'!$E$6</f>
        <v>#DIV/0!</v>
      </c>
      <c r="AR118" t="e">
        <f>((AO118*$K$115)+(AP118*$L$115))*'Summary Sheet'!$E$6</f>
        <v>#DIV/0!</v>
      </c>
      <c r="AS118" t="e">
        <f>((AO118*$K$116)+(AP118*$L$116))*'Summary Sheet'!$E$6</f>
        <v>#DIV/0!</v>
      </c>
      <c r="AT118" t="e">
        <f>((AO118*$K$117)+(AP118*$L$117))*'Summary Sheet'!$E$6</f>
        <v>#DIV/0!</v>
      </c>
      <c r="BA118">
        <v>2015</v>
      </c>
      <c r="BB118" s="10" t="e">
        <f>('Summary Sheet'!$F$11-'Summary Sheet'!$F$12)+('Summary Sheet'!$F$13-'Summary Sheet'!$F$14)</f>
        <v>#DIV/0!</v>
      </c>
      <c r="BC118" s="10" t="e">
        <f>('Summary Sheet'!$F$26-'Summary Sheet'!$F$27)</f>
        <v>#DIV/0!</v>
      </c>
      <c r="BD118" t="e">
        <f>((BB118*$K$114)+(BC118*$L$114))*'Summary Sheet'!$F$6</f>
        <v>#DIV/0!</v>
      </c>
      <c r="BE118" t="e">
        <f>((BB118*$K$115)+(BC118*$L$115))*'Summary Sheet'!$F$6</f>
        <v>#DIV/0!</v>
      </c>
      <c r="BF118" t="e">
        <f>((BB118*$K$116)+(BC118*$L$116))*'Summary Sheet'!$F$6</f>
        <v>#DIV/0!</v>
      </c>
      <c r="BG118" t="e">
        <f>((BB118*$K$117)+(BC118*$L$117))*'Summary Sheet'!$F$6</f>
        <v>#DIV/0!</v>
      </c>
      <c r="BN118">
        <v>2015</v>
      </c>
      <c r="BO118" s="10" t="e">
        <f>('Summary Sheet'!$G$11-'Summary Sheet'!$G$12)+('Summary Sheet'!$G$13-'Summary Sheet'!$G$14)</f>
        <v>#DIV/0!</v>
      </c>
      <c r="BP118" s="10" t="e">
        <f>('Summary Sheet'!$G$26-'Summary Sheet'!$G$27)</f>
        <v>#DIV/0!</v>
      </c>
      <c r="BQ118" t="e">
        <f>((BO118*$K$114)+(BP118*$L$114))*'Summary Sheet'!$G$6</f>
        <v>#DIV/0!</v>
      </c>
      <c r="BR118" t="e">
        <f>((BO118*$K$115)+(BP118*$L$115))*'Summary Sheet'!$G$6</f>
        <v>#DIV/0!</v>
      </c>
      <c r="BS118" t="e">
        <f>((BO118*$K$116)+(BP118*$L$116))*'Summary Sheet'!$G$6</f>
        <v>#DIV/0!</v>
      </c>
      <c r="BT118" t="e">
        <f>((BO118*$K$117)+(BP118*$L$117))*'Summary Sheet'!$G$6</f>
        <v>#DIV/0!</v>
      </c>
    </row>
    <row r="119" spans="1:72" ht="12.75">
      <c r="A119">
        <v>2016</v>
      </c>
      <c r="B119" s="10" t="e">
        <f>('Summary Sheet'!$B$11-'Summary Sheet'!$B$12)+('Summary Sheet'!$B$13-'Summary Sheet'!$B$14)</f>
        <v>#DIV/0!</v>
      </c>
      <c r="C119" s="10" t="e">
        <f>('Summary Sheet'!$B$26-'Summary Sheet'!$B$27)</f>
        <v>#DIV/0!</v>
      </c>
      <c r="D119" s="227" t="e">
        <f>((B119*$K$114*'Summary Sheet'!$B$6)+(C119*$L$114*'Summary Sheet'!$B$6))</f>
        <v>#DIV/0!</v>
      </c>
      <c r="E119" s="227" t="e">
        <f>(B119*$K$115*'Summary Sheet'!$B$6)+(C119*$L$115*'Summary Sheet'!$B$6)</f>
        <v>#DIV/0!</v>
      </c>
      <c r="F119" s="227" t="e">
        <f>(B119*$K$116*'Summary Sheet'!$B$6)+(C119*$L$116*'Summary Sheet'!$B$6)</f>
        <v>#DIV/0!</v>
      </c>
      <c r="G119" s="229" t="e">
        <f>(B119*$K$117*'Summary Sheet'!$B$6)+(C119*$L$117*'Summary Sheet'!$B$6)</f>
        <v>#DIV/0!</v>
      </c>
      <c r="J119" t="s">
        <v>812</v>
      </c>
      <c r="N119">
        <v>2016</v>
      </c>
      <c r="O119" s="10" t="e">
        <f>('Summary Sheet'!$C$11-'Summary Sheet'!$C$12)+('Summary Sheet'!$C$13-'Summary Sheet'!$C$14)</f>
        <v>#DIV/0!</v>
      </c>
      <c r="P119" s="10" t="e">
        <f>('Summary Sheet'!$C$26-'Summary Sheet'!$C$27)</f>
        <v>#DIV/0!</v>
      </c>
      <c r="Q119" t="e">
        <f>((O119*$K$114)+(P119*$L$114))*'Summary Sheet'!$C$6</f>
        <v>#DIV/0!</v>
      </c>
      <c r="R119" t="e">
        <f>((O119*$K$115)+(P119*$L$115))*'Summary Sheet'!$C$6</f>
        <v>#DIV/0!</v>
      </c>
      <c r="S119" t="e">
        <f>((O119*$K$116)+(P119*$L$116))*'Summary Sheet'!$C$6</f>
        <v>#DIV/0!</v>
      </c>
      <c r="T119" t="e">
        <f>((O119*$K$117)+(P119*$L$117))*'Summary Sheet'!$C$6</f>
        <v>#DIV/0!</v>
      </c>
      <c r="AA119">
        <v>2016</v>
      </c>
      <c r="AB119" s="10" t="e">
        <f>('Summary Sheet'!$D$11-'Summary Sheet'!$D$12)+('Summary Sheet'!$C$13-'Summary Sheet'!$D$14)</f>
        <v>#DIV/0!</v>
      </c>
      <c r="AC119" s="10" t="e">
        <f>('Summary Sheet'!$D$26-'Summary Sheet'!$D$27)</f>
        <v>#DIV/0!</v>
      </c>
      <c r="AD119" t="e">
        <f>((AB119*$K$114)+(AC119*$L$114))*'Summary Sheet'!$D$6</f>
        <v>#DIV/0!</v>
      </c>
      <c r="AE119" t="e">
        <f>((AB119*$K$115)+(AC119*$L$115))*'Summary Sheet'!$D$6</f>
        <v>#DIV/0!</v>
      </c>
      <c r="AF119" t="e">
        <f>((AB119*$K$116)+(AC119*$L$116))*'Summary Sheet'!$D$6</f>
        <v>#DIV/0!</v>
      </c>
      <c r="AG119" t="e">
        <f>((AB119*$K$117)+(AC119*$L$117))*'Summary Sheet'!$D$6</f>
        <v>#DIV/0!</v>
      </c>
      <c r="AN119">
        <v>2016</v>
      </c>
      <c r="AO119" s="10" t="e">
        <f>('Summary Sheet'!$E$11-'Summary Sheet'!$E$12)+('Summary Sheet'!$E$13-'Summary Sheet'!$E$14)</f>
        <v>#DIV/0!</v>
      </c>
      <c r="AP119" s="10" t="e">
        <f>('Summary Sheet'!$E$26-'Summary Sheet'!$E$27)</f>
        <v>#DIV/0!</v>
      </c>
      <c r="AQ119" t="e">
        <f>((AO119*$K$114)+(AP119*$L$114))*'Summary Sheet'!$E$6</f>
        <v>#DIV/0!</v>
      </c>
      <c r="AR119" t="e">
        <f>((AO119*$K$115)+(AP119*$L$115))*'Summary Sheet'!$E$6</f>
        <v>#DIV/0!</v>
      </c>
      <c r="AS119" t="e">
        <f>((AO119*$K$116)+(AP119*$L$116))*'Summary Sheet'!$E$6</f>
        <v>#DIV/0!</v>
      </c>
      <c r="AT119" t="e">
        <f>((AO119*$K$117)+(AP119*$L$117))*'Summary Sheet'!$E$6</f>
        <v>#DIV/0!</v>
      </c>
      <c r="BA119">
        <v>2016</v>
      </c>
      <c r="BB119" s="10" t="e">
        <f>('Summary Sheet'!$F$11-'Summary Sheet'!$F$12)+('Summary Sheet'!$F$13-'Summary Sheet'!$F$14)</f>
        <v>#DIV/0!</v>
      </c>
      <c r="BC119" s="10" t="e">
        <f>('Summary Sheet'!$F$26-'Summary Sheet'!$F$27)</f>
        <v>#DIV/0!</v>
      </c>
      <c r="BD119" t="e">
        <f>((BB119*$K$114)+(BC119*$L$114))*'Summary Sheet'!$F$6</f>
        <v>#DIV/0!</v>
      </c>
      <c r="BE119" t="e">
        <f>((BB119*$K$115)+(BC119*$L$115))*'Summary Sheet'!$F$6</f>
        <v>#DIV/0!</v>
      </c>
      <c r="BF119" t="e">
        <f>((BB119*$K$116)+(BC119*$L$116))*'Summary Sheet'!$F$6</f>
        <v>#DIV/0!</v>
      </c>
      <c r="BG119" t="e">
        <f>((BB119*$K$117)+(BC119*$L$117))*'Summary Sheet'!$F$6</f>
        <v>#DIV/0!</v>
      </c>
      <c r="BN119">
        <v>2016</v>
      </c>
      <c r="BO119" s="10" t="e">
        <f>('Summary Sheet'!$G$11-'Summary Sheet'!$G$12)+('Summary Sheet'!$G$13-'Summary Sheet'!$G$14)</f>
        <v>#DIV/0!</v>
      </c>
      <c r="BP119" s="10" t="e">
        <f>('Summary Sheet'!$G$26-'Summary Sheet'!$G$27)</f>
        <v>#DIV/0!</v>
      </c>
      <c r="BQ119" t="e">
        <f>((BO119*$K$114)+(BP119*$L$114))*'Summary Sheet'!$G$6</f>
        <v>#DIV/0!</v>
      </c>
      <c r="BR119" t="e">
        <f>((BO119*$K$115)+(BP119*$L$115))*'Summary Sheet'!$G$6</f>
        <v>#DIV/0!</v>
      </c>
      <c r="BS119" t="e">
        <f>((BO119*$K$116)+(BP119*$L$116))*'Summary Sheet'!$G$6</f>
        <v>#DIV/0!</v>
      </c>
      <c r="BT119" t="e">
        <f>((BO119*$K$117)+(BP119*$L$117))*'Summary Sheet'!$G$6</f>
        <v>#DIV/0!</v>
      </c>
    </row>
    <row r="120" spans="1:72" ht="12.75">
      <c r="A120">
        <v>2017</v>
      </c>
      <c r="B120" s="10" t="e">
        <f>('Summary Sheet'!$B$11-'Summary Sheet'!$B$12)+('Summary Sheet'!$B$13-'Summary Sheet'!$B$14)</f>
        <v>#DIV/0!</v>
      </c>
      <c r="C120" s="10" t="e">
        <f>('Summary Sheet'!$B$26-'Summary Sheet'!$B$27)</f>
        <v>#DIV/0!</v>
      </c>
      <c r="D120" s="227" t="e">
        <f>((B120*$K$114*'Summary Sheet'!$B$6)+(C120*$L$114*'Summary Sheet'!$B$6))</f>
        <v>#DIV/0!</v>
      </c>
      <c r="E120" s="227" t="e">
        <f>(B120*$K$115*'Summary Sheet'!$B$6)+(C120*$L$115*'Summary Sheet'!$B$6)</f>
        <v>#DIV/0!</v>
      </c>
      <c r="F120" s="227" t="e">
        <f>(B120*$K$116*'Summary Sheet'!$B$6)+(C120*$L$116*'Summary Sheet'!$B$6)</f>
        <v>#DIV/0!</v>
      </c>
      <c r="G120" s="229" t="e">
        <f>(B120*$K$117*'Summary Sheet'!$B$6)+(C120*$L$117*'Summary Sheet'!$B$6)</f>
        <v>#DIV/0!</v>
      </c>
      <c r="N120">
        <v>2017</v>
      </c>
      <c r="O120" s="10" t="e">
        <f>('Summary Sheet'!$C$11-'Summary Sheet'!$C$12)+('Summary Sheet'!$C$13-'Summary Sheet'!$C$14)</f>
        <v>#DIV/0!</v>
      </c>
      <c r="P120" s="10" t="e">
        <f>('Summary Sheet'!$C$26-'Summary Sheet'!$C$27)</f>
        <v>#DIV/0!</v>
      </c>
      <c r="Q120" t="e">
        <f>((O120*$K$114)+(P120*$L$114))*'Summary Sheet'!$C$6</f>
        <v>#DIV/0!</v>
      </c>
      <c r="R120" t="e">
        <f>((O120*$K$115)+(P120*$L$115))*'Summary Sheet'!$C$6</f>
        <v>#DIV/0!</v>
      </c>
      <c r="S120" t="e">
        <f>((O120*$K$116)+(P120*$L$116))*'Summary Sheet'!$C$6</f>
        <v>#DIV/0!</v>
      </c>
      <c r="T120" t="e">
        <f>((O120*$K$117)+(P120*$L$117))*'Summary Sheet'!$C$6</f>
        <v>#DIV/0!</v>
      </c>
      <c r="AA120">
        <v>2017</v>
      </c>
      <c r="AB120" s="10" t="e">
        <f>('Summary Sheet'!$D$11-'Summary Sheet'!$D$12)+('Summary Sheet'!$C$13-'Summary Sheet'!$D$14)</f>
        <v>#DIV/0!</v>
      </c>
      <c r="AC120" s="10" t="e">
        <f>('Summary Sheet'!$D$26-'Summary Sheet'!$D$27)</f>
        <v>#DIV/0!</v>
      </c>
      <c r="AD120" t="e">
        <f>((AB120*$K$114)+(AC120*$L$114))*'Summary Sheet'!$D$6</f>
        <v>#DIV/0!</v>
      </c>
      <c r="AE120" t="e">
        <f>((AB120*$K$115)+(AC120*$L$115))*'Summary Sheet'!$D$6</f>
        <v>#DIV/0!</v>
      </c>
      <c r="AF120" t="e">
        <f>((AB120*$K$116)+(AC120*$L$116))*'Summary Sheet'!$D$6</f>
        <v>#DIV/0!</v>
      </c>
      <c r="AG120" t="e">
        <f>((AB120*$K$117)+(AC120*$L$117))*'Summary Sheet'!$D$6</f>
        <v>#DIV/0!</v>
      </c>
      <c r="AN120">
        <v>2017</v>
      </c>
      <c r="AO120" s="10" t="e">
        <f>('Summary Sheet'!$E$11-'Summary Sheet'!$E$12)+('Summary Sheet'!$E$13-'Summary Sheet'!$E$14)</f>
        <v>#DIV/0!</v>
      </c>
      <c r="AP120" s="10" t="e">
        <f>('Summary Sheet'!$E$26-'Summary Sheet'!$E$27)</f>
        <v>#DIV/0!</v>
      </c>
      <c r="AQ120" t="e">
        <f>((AO120*$K$114)+(AP120*$L$114))*'Summary Sheet'!$E$6</f>
        <v>#DIV/0!</v>
      </c>
      <c r="AR120" t="e">
        <f>((AO120*$K$115)+(AP120*$L$115))*'Summary Sheet'!$E$6</f>
        <v>#DIV/0!</v>
      </c>
      <c r="AS120" t="e">
        <f>((AO120*$K$116)+(AP120*$L$116))*'Summary Sheet'!$E$6</f>
        <v>#DIV/0!</v>
      </c>
      <c r="AT120" t="e">
        <f>((AO120*$K$117)+(AP120*$L$117))*'Summary Sheet'!$E$6</f>
        <v>#DIV/0!</v>
      </c>
      <c r="BA120">
        <v>2017</v>
      </c>
      <c r="BB120" s="10" t="e">
        <f>('Summary Sheet'!$F$11-'Summary Sheet'!$F$12)+('Summary Sheet'!$F$13-'Summary Sheet'!$F$14)</f>
        <v>#DIV/0!</v>
      </c>
      <c r="BC120" s="10" t="e">
        <f>('Summary Sheet'!$F$26-'Summary Sheet'!$F$27)</f>
        <v>#DIV/0!</v>
      </c>
      <c r="BD120" t="e">
        <f>((BB120*$K$114)+(BC120*$L$114))*'Summary Sheet'!$F$6</f>
        <v>#DIV/0!</v>
      </c>
      <c r="BE120" t="e">
        <f>((BB120*$K$115)+(BC120*$L$115))*'Summary Sheet'!$F$6</f>
        <v>#DIV/0!</v>
      </c>
      <c r="BF120" t="e">
        <f>((BB120*$K$116)+(BC120*$L$116))*'Summary Sheet'!$F$6</f>
        <v>#DIV/0!</v>
      </c>
      <c r="BG120" t="e">
        <f>((BB120*$K$117)+(BC120*$L$117))*'Summary Sheet'!$F$6</f>
        <v>#DIV/0!</v>
      </c>
      <c r="BN120">
        <v>2017</v>
      </c>
      <c r="BO120" s="10" t="e">
        <f>('Summary Sheet'!$G$11-'Summary Sheet'!$G$12)+('Summary Sheet'!$G$13-'Summary Sheet'!$G$14)</f>
        <v>#DIV/0!</v>
      </c>
      <c r="BP120" s="10" t="e">
        <f>('Summary Sheet'!$G$26-'Summary Sheet'!$G$27)</f>
        <v>#DIV/0!</v>
      </c>
      <c r="BQ120" t="e">
        <f>((BO120*$K$114)+(BP120*$L$114))*'Summary Sheet'!$G$6</f>
        <v>#DIV/0!</v>
      </c>
      <c r="BR120" t="e">
        <f>((BO120*$K$115)+(BP120*$L$115))*'Summary Sheet'!$G$6</f>
        <v>#DIV/0!</v>
      </c>
      <c r="BS120" t="e">
        <f>((BO120*$K$116)+(BP120*$L$116))*'Summary Sheet'!$G$6</f>
        <v>#DIV/0!</v>
      </c>
      <c r="BT120" t="e">
        <f>((BO120*$K$117)+(BP120*$L$117))*'Summary Sheet'!$G$6</f>
        <v>#DIV/0!</v>
      </c>
    </row>
    <row r="121" spans="1:72" ht="12.75">
      <c r="A121">
        <v>2018</v>
      </c>
      <c r="B121" s="10" t="e">
        <f>('Summary Sheet'!$B$11-'Summary Sheet'!$B$12)+('Summary Sheet'!$B$13-'Summary Sheet'!$B$14)</f>
        <v>#DIV/0!</v>
      </c>
      <c r="C121" s="10" t="e">
        <f>('Summary Sheet'!$B$26-'Summary Sheet'!$B$27)</f>
        <v>#DIV/0!</v>
      </c>
      <c r="D121" s="227" t="e">
        <f>((B121*$K$114*'Summary Sheet'!$B$6)+(C121*$L$114*'Summary Sheet'!$B$6))</f>
        <v>#DIV/0!</v>
      </c>
      <c r="E121" s="227" t="e">
        <f>(B121*$K$115*'Summary Sheet'!$B$6)+(C121*$L$115*'Summary Sheet'!$B$6)</f>
        <v>#DIV/0!</v>
      </c>
      <c r="F121" s="227" t="e">
        <f>(B121*$K$116*'Summary Sheet'!$B$6)+(C121*$L$116*'Summary Sheet'!$B$6)</f>
        <v>#DIV/0!</v>
      </c>
      <c r="G121" s="229" t="e">
        <f>(B121*$K$117*'Summary Sheet'!$B$6)+(C121*$L$117*'Summary Sheet'!$B$6)</f>
        <v>#DIV/0!</v>
      </c>
      <c r="N121">
        <v>2018</v>
      </c>
      <c r="O121" s="10" t="e">
        <f>('Summary Sheet'!$C$11-'Summary Sheet'!$C$12)+('Summary Sheet'!$C$13-'Summary Sheet'!$C$14)</f>
        <v>#DIV/0!</v>
      </c>
      <c r="P121" s="10" t="e">
        <f>('Summary Sheet'!$C$26-'Summary Sheet'!$C$27)</f>
        <v>#DIV/0!</v>
      </c>
      <c r="Q121" t="e">
        <f>((O121*$K$114)+(P121*$L$114))*'Summary Sheet'!$C$6</f>
        <v>#DIV/0!</v>
      </c>
      <c r="R121" t="e">
        <f>((O121*$K$115)+(P121*$L$115))*'Summary Sheet'!$C$6</f>
        <v>#DIV/0!</v>
      </c>
      <c r="S121" t="e">
        <f>((O121*$K$116)+(P121*$L$116))*'Summary Sheet'!$C$6</f>
        <v>#DIV/0!</v>
      </c>
      <c r="T121" t="e">
        <f>((O121*$K$117)+(P121*$L$117))*'Summary Sheet'!$C$6</f>
        <v>#DIV/0!</v>
      </c>
      <c r="AA121">
        <v>2018</v>
      </c>
      <c r="AB121" s="10" t="e">
        <f>('Summary Sheet'!$D$11-'Summary Sheet'!$D$12)+('Summary Sheet'!$C$13-'Summary Sheet'!$D$14)</f>
        <v>#DIV/0!</v>
      </c>
      <c r="AC121" s="10" t="e">
        <f>('Summary Sheet'!$D$26-'Summary Sheet'!$D$27)</f>
        <v>#DIV/0!</v>
      </c>
      <c r="AD121" t="e">
        <f>((AB121*$K$114)+(AC121*$L$114))*'Summary Sheet'!$D$6</f>
        <v>#DIV/0!</v>
      </c>
      <c r="AE121" t="e">
        <f>((AB121*$K$115)+(AC121*$L$115))*'Summary Sheet'!$D$6</f>
        <v>#DIV/0!</v>
      </c>
      <c r="AF121" t="e">
        <f>((AB121*$K$116)+(AC121*$L$116))*'Summary Sheet'!$D$6</f>
        <v>#DIV/0!</v>
      </c>
      <c r="AG121" t="e">
        <f>((AB121*$K$117)+(AC121*$L$117))*'Summary Sheet'!$D$6</f>
        <v>#DIV/0!</v>
      </c>
      <c r="AN121">
        <v>2018</v>
      </c>
      <c r="AO121" s="10" t="e">
        <f>('Summary Sheet'!$E$11-'Summary Sheet'!$E$12)+('Summary Sheet'!$E$13-'Summary Sheet'!$E$14)</f>
        <v>#DIV/0!</v>
      </c>
      <c r="AP121" s="10" t="e">
        <f>('Summary Sheet'!$E$26-'Summary Sheet'!$E$27)</f>
        <v>#DIV/0!</v>
      </c>
      <c r="AQ121" t="e">
        <f>((AO121*$K$114)+(AP121*$L$114))*'Summary Sheet'!$E$6</f>
        <v>#DIV/0!</v>
      </c>
      <c r="AR121" t="e">
        <f>((AO121*$K$115)+(AP121*$L$115))*'Summary Sheet'!$E$6</f>
        <v>#DIV/0!</v>
      </c>
      <c r="AS121" t="e">
        <f>((AO121*$K$116)+(AP121*$L$116))*'Summary Sheet'!$E$6</f>
        <v>#DIV/0!</v>
      </c>
      <c r="AT121" t="e">
        <f>((AO121*$K$117)+(AP121*$L$117))*'Summary Sheet'!$E$6</f>
        <v>#DIV/0!</v>
      </c>
      <c r="BA121">
        <v>2018</v>
      </c>
      <c r="BB121" s="10" t="e">
        <f>('Summary Sheet'!$F$11-'Summary Sheet'!$F$12)+('Summary Sheet'!$F$13-'Summary Sheet'!$F$14)</f>
        <v>#DIV/0!</v>
      </c>
      <c r="BC121" s="10" t="e">
        <f>('Summary Sheet'!$F$26-'Summary Sheet'!$F$27)</f>
        <v>#DIV/0!</v>
      </c>
      <c r="BD121" t="e">
        <f>((BB121*$K$114)+(BC121*$L$114))*'Summary Sheet'!$F$6</f>
        <v>#DIV/0!</v>
      </c>
      <c r="BE121" t="e">
        <f>((BB121*$K$115)+(BC121*$L$115))*'Summary Sheet'!$F$6</f>
        <v>#DIV/0!</v>
      </c>
      <c r="BF121" t="e">
        <f>((BB121*$K$116)+(BC121*$L$116))*'Summary Sheet'!$F$6</f>
        <v>#DIV/0!</v>
      </c>
      <c r="BG121" t="e">
        <f>((BB121*$K$117)+(BC121*$L$117))*'Summary Sheet'!$F$6</f>
        <v>#DIV/0!</v>
      </c>
      <c r="BN121">
        <v>2018</v>
      </c>
      <c r="BO121" s="10" t="e">
        <f>('Summary Sheet'!$G$11-'Summary Sheet'!$G$12)+('Summary Sheet'!$G$13-'Summary Sheet'!$G$14)</f>
        <v>#DIV/0!</v>
      </c>
      <c r="BP121" s="10" t="e">
        <f>('Summary Sheet'!$G$26-'Summary Sheet'!$G$27)</f>
        <v>#DIV/0!</v>
      </c>
      <c r="BQ121" t="e">
        <f>((BO121*$K$114)+(BP121*$L$114))*'Summary Sheet'!$G$6</f>
        <v>#DIV/0!</v>
      </c>
      <c r="BR121" t="e">
        <f>((BO121*$K$115)+(BP121*$L$115))*'Summary Sheet'!$G$6</f>
        <v>#DIV/0!</v>
      </c>
      <c r="BS121" t="e">
        <f>((BO121*$K$116)+(BP121*$L$116))*'Summary Sheet'!$G$6</f>
        <v>#DIV/0!</v>
      </c>
      <c r="BT121" t="e">
        <f>((BO121*$K$117)+(BP121*$L$117))*'Summary Sheet'!$G$6</f>
        <v>#DIV/0!</v>
      </c>
    </row>
    <row r="122" spans="1:72" ht="12.75">
      <c r="A122">
        <v>2019</v>
      </c>
      <c r="B122" s="10" t="e">
        <f>('Summary Sheet'!$B$11-'Summary Sheet'!$B$12)+('Summary Sheet'!$B$13-'Summary Sheet'!$B$14)</f>
        <v>#DIV/0!</v>
      </c>
      <c r="C122" s="10" t="e">
        <f>('Summary Sheet'!$B$26-'Summary Sheet'!$B$27)</f>
        <v>#DIV/0!</v>
      </c>
      <c r="D122" s="227" t="e">
        <f>((B122*$K$114*'Summary Sheet'!$B$6)+(C122*$L$114*'Summary Sheet'!$B$6))</f>
        <v>#DIV/0!</v>
      </c>
      <c r="E122" s="227" t="e">
        <f>(B122*$K$115*'Summary Sheet'!$B$6)+(C122*$L$115*'Summary Sheet'!$B$6)</f>
        <v>#DIV/0!</v>
      </c>
      <c r="F122" s="227" t="e">
        <f>(B122*$K$116*'Summary Sheet'!$B$6)+(C122*$L$116*'Summary Sheet'!$B$6)</f>
        <v>#DIV/0!</v>
      </c>
      <c r="G122" s="229" t="e">
        <f>(B122*$K$117*'Summary Sheet'!$B$6)+(C122*$L$117*'Summary Sheet'!$B$6)</f>
        <v>#DIV/0!</v>
      </c>
      <c r="N122">
        <v>2019</v>
      </c>
      <c r="O122" s="10" t="e">
        <f>('Summary Sheet'!$C$11-'Summary Sheet'!$C$12)+('Summary Sheet'!$C$13-'Summary Sheet'!$C$14)</f>
        <v>#DIV/0!</v>
      </c>
      <c r="P122" s="10" t="e">
        <f>('Summary Sheet'!$C$26-'Summary Sheet'!$C$27)</f>
        <v>#DIV/0!</v>
      </c>
      <c r="Q122" t="e">
        <f>((O122*$K$114)+(P122*$L$114))*'Summary Sheet'!$C$6</f>
        <v>#DIV/0!</v>
      </c>
      <c r="R122" t="e">
        <f>((O122*$K$115)+(P122*$L$115))*'Summary Sheet'!$C$6</f>
        <v>#DIV/0!</v>
      </c>
      <c r="S122" t="e">
        <f>((O122*$K$116)+(P122*$L$116))*'Summary Sheet'!$C$6</f>
        <v>#DIV/0!</v>
      </c>
      <c r="T122" t="e">
        <f>((O122*$K$117)+(P122*$L$117))*'Summary Sheet'!$C$6</f>
        <v>#DIV/0!</v>
      </c>
      <c r="AA122">
        <v>2019</v>
      </c>
      <c r="AB122" s="10" t="e">
        <f>('Summary Sheet'!$D$11-'Summary Sheet'!$D$12)+('Summary Sheet'!$C$13-'Summary Sheet'!$D$14)</f>
        <v>#DIV/0!</v>
      </c>
      <c r="AC122" s="10" t="e">
        <f>('Summary Sheet'!$D$26-'Summary Sheet'!$D$27)</f>
        <v>#DIV/0!</v>
      </c>
      <c r="AD122" t="e">
        <f>((AB122*$K$114)+(AC122*$L$114))*'Summary Sheet'!$D$6</f>
        <v>#DIV/0!</v>
      </c>
      <c r="AE122" t="e">
        <f>((AB122*$K$115)+(AC122*$L$115))*'Summary Sheet'!$D$6</f>
        <v>#DIV/0!</v>
      </c>
      <c r="AF122" t="e">
        <f>((AB122*$K$116)+(AC122*$L$116))*'Summary Sheet'!$D$6</f>
        <v>#DIV/0!</v>
      </c>
      <c r="AG122" t="e">
        <f>((AB122*$K$117)+(AC122*$L$117))*'Summary Sheet'!$D$6</f>
        <v>#DIV/0!</v>
      </c>
      <c r="AN122">
        <v>2019</v>
      </c>
      <c r="AO122" s="10" t="e">
        <f>('Summary Sheet'!$E$11-'Summary Sheet'!$E$12)+('Summary Sheet'!$E$13-'Summary Sheet'!$E$14)</f>
        <v>#DIV/0!</v>
      </c>
      <c r="AP122" s="10" t="e">
        <f>('Summary Sheet'!$E$26-'Summary Sheet'!$E$27)</f>
        <v>#DIV/0!</v>
      </c>
      <c r="AQ122" t="e">
        <f>((AO122*$K$114)+(AP122*$L$114))*'Summary Sheet'!$E$6</f>
        <v>#DIV/0!</v>
      </c>
      <c r="AR122" t="e">
        <f>((AO122*$K$115)+(AP122*$L$115))*'Summary Sheet'!$E$6</f>
        <v>#DIV/0!</v>
      </c>
      <c r="AS122" t="e">
        <f>((AO122*$K$116)+(AP122*$L$116))*'Summary Sheet'!$E$6</f>
        <v>#DIV/0!</v>
      </c>
      <c r="AT122" t="e">
        <f>((AO122*$K$117)+(AP122*$L$117))*'Summary Sheet'!$E$6</f>
        <v>#DIV/0!</v>
      </c>
      <c r="BA122">
        <v>2019</v>
      </c>
      <c r="BB122" s="10" t="e">
        <f>('Summary Sheet'!$F$11-'Summary Sheet'!$F$12)+('Summary Sheet'!$F$13-'Summary Sheet'!$F$14)</f>
        <v>#DIV/0!</v>
      </c>
      <c r="BC122" s="10" t="e">
        <f>('Summary Sheet'!$F$26-'Summary Sheet'!$F$27)</f>
        <v>#DIV/0!</v>
      </c>
      <c r="BD122" t="e">
        <f>((BB122*$K$114)+(BC122*$L$114))*'Summary Sheet'!$F$6</f>
        <v>#DIV/0!</v>
      </c>
      <c r="BE122" t="e">
        <f>((BB122*$K$115)+(BC122*$L$115))*'Summary Sheet'!$F$6</f>
        <v>#DIV/0!</v>
      </c>
      <c r="BF122" t="e">
        <f>((BB122*$K$116)+(BC122*$L$116))*'Summary Sheet'!$F$6</f>
        <v>#DIV/0!</v>
      </c>
      <c r="BG122" t="e">
        <f>((BB122*$K$117)+(BC122*$L$117))*'Summary Sheet'!$F$6</f>
        <v>#DIV/0!</v>
      </c>
      <c r="BN122">
        <v>2019</v>
      </c>
      <c r="BO122" s="10" t="e">
        <f>('Summary Sheet'!$G$11-'Summary Sheet'!$G$12)+('Summary Sheet'!$G$13-'Summary Sheet'!$G$14)</f>
        <v>#DIV/0!</v>
      </c>
      <c r="BP122" s="10" t="e">
        <f>('Summary Sheet'!$G$26-'Summary Sheet'!$G$27)</f>
        <v>#DIV/0!</v>
      </c>
      <c r="BQ122" t="e">
        <f>((BO122*$K$114)+(BP122*$L$114))*'Summary Sheet'!$G$6</f>
        <v>#DIV/0!</v>
      </c>
      <c r="BR122" t="e">
        <f>((BO122*$K$115)+(BP122*$L$115))*'Summary Sheet'!$G$6</f>
        <v>#DIV/0!</v>
      </c>
      <c r="BS122" t="e">
        <f>((BO122*$K$116)+(BP122*$L$116))*'Summary Sheet'!$G$6</f>
        <v>#DIV/0!</v>
      </c>
      <c r="BT122" t="e">
        <f>((BO122*$K$117)+(BP122*$L$117))*'Summary Sheet'!$G$6</f>
        <v>#DIV/0!</v>
      </c>
    </row>
    <row r="123" spans="1:72" ht="12.75">
      <c r="A123">
        <v>2020</v>
      </c>
      <c r="B123" s="10" t="e">
        <f>('Summary Sheet'!$B$11-'Summary Sheet'!$B$12)+('Summary Sheet'!$B$13-'Summary Sheet'!$B$14)</f>
        <v>#DIV/0!</v>
      </c>
      <c r="C123" s="10" t="e">
        <f>('Summary Sheet'!$B$26-'Summary Sheet'!$B$27)</f>
        <v>#DIV/0!</v>
      </c>
      <c r="D123" s="227" t="e">
        <f>((B123*$K$114*'Summary Sheet'!$B$6)+(C123*$L$114*'Summary Sheet'!$B$6))</f>
        <v>#DIV/0!</v>
      </c>
      <c r="E123" s="227" t="e">
        <f>(B123*$K$115*'Summary Sheet'!$B$6)+(C123*$L$115*'Summary Sheet'!$B$6)</f>
        <v>#DIV/0!</v>
      </c>
      <c r="F123" s="227" t="e">
        <f>(B123*$K$116*'Summary Sheet'!$B$6)+(C123*$L$116*'Summary Sheet'!$B$6)</f>
        <v>#DIV/0!</v>
      </c>
      <c r="G123" s="229" t="e">
        <f>(B123*$K$117*'Summary Sheet'!$B$6)+(C123*$L$117*'Summary Sheet'!$B$6)</f>
        <v>#DIV/0!</v>
      </c>
      <c r="N123">
        <v>2020</v>
      </c>
      <c r="O123" s="10" t="e">
        <f>('Summary Sheet'!$C$11-'Summary Sheet'!$C$12)+('Summary Sheet'!$C$13-'Summary Sheet'!$C$14)</f>
        <v>#DIV/0!</v>
      </c>
      <c r="P123" s="10" t="e">
        <f>('Summary Sheet'!$C$26-'Summary Sheet'!$C$27)</f>
        <v>#DIV/0!</v>
      </c>
      <c r="Q123" t="e">
        <f>((O123*$K$114)+(P123*$L$114))*'Summary Sheet'!$C$6</f>
        <v>#DIV/0!</v>
      </c>
      <c r="R123" t="e">
        <f>((O123*$K$115)+(P123*$L$115))*'Summary Sheet'!$C$6</f>
        <v>#DIV/0!</v>
      </c>
      <c r="S123" t="e">
        <f>((O123*$K$116)+(P123*$L$116))*'Summary Sheet'!$C$6</f>
        <v>#DIV/0!</v>
      </c>
      <c r="T123" t="e">
        <f>((O123*$K$117)+(P123*$L$117))*'Summary Sheet'!$C$6</f>
        <v>#DIV/0!</v>
      </c>
      <c r="AA123">
        <v>2020</v>
      </c>
      <c r="AB123" s="10" t="e">
        <f>('Summary Sheet'!$D$11-'Summary Sheet'!$D$12)+('Summary Sheet'!$C$13-'Summary Sheet'!$D$14)</f>
        <v>#DIV/0!</v>
      </c>
      <c r="AC123" s="10" t="e">
        <f>('Summary Sheet'!$D$26-'Summary Sheet'!$D$27)</f>
        <v>#DIV/0!</v>
      </c>
      <c r="AD123" t="e">
        <f>((AB123*$K$114)+(AC123*$L$114))*'Summary Sheet'!$D$6</f>
        <v>#DIV/0!</v>
      </c>
      <c r="AE123" t="e">
        <f>((AB123*$K$115)+(AC123*$L$115))*'Summary Sheet'!$D$6</f>
        <v>#DIV/0!</v>
      </c>
      <c r="AF123" t="e">
        <f>((AB123*$K$116)+(AC123*$L$116))*'Summary Sheet'!$D$6</f>
        <v>#DIV/0!</v>
      </c>
      <c r="AG123" t="e">
        <f>((AB123*$K$117)+(AC123*$L$117))*'Summary Sheet'!$D$6</f>
        <v>#DIV/0!</v>
      </c>
      <c r="AN123">
        <v>2020</v>
      </c>
      <c r="AO123" s="10" t="e">
        <f>('Summary Sheet'!$E$11-'Summary Sheet'!$E$12)+('Summary Sheet'!$E$13-'Summary Sheet'!$E$14)</f>
        <v>#DIV/0!</v>
      </c>
      <c r="AP123" s="10" t="e">
        <f>('Summary Sheet'!$E$26-'Summary Sheet'!$E$27)</f>
        <v>#DIV/0!</v>
      </c>
      <c r="AQ123" t="e">
        <f>((AO123*$K$114)+(AP123*$L$114))*'Summary Sheet'!$E$6</f>
        <v>#DIV/0!</v>
      </c>
      <c r="AR123" t="e">
        <f>((AO123*$K$115)+(AP123*$L$115))*'Summary Sheet'!$E$6</f>
        <v>#DIV/0!</v>
      </c>
      <c r="AS123" t="e">
        <f>((AO123*$K$116)+(AP123*$L$116))*'Summary Sheet'!$E$6</f>
        <v>#DIV/0!</v>
      </c>
      <c r="AT123" t="e">
        <f>((AO123*$K$117)+(AP123*$L$117))*'Summary Sheet'!$E$6</f>
        <v>#DIV/0!</v>
      </c>
      <c r="BA123">
        <v>2020</v>
      </c>
      <c r="BB123" s="10" t="e">
        <f>('Summary Sheet'!$F$11-'Summary Sheet'!$F$12)+('Summary Sheet'!$F$13-'Summary Sheet'!$F$14)</f>
        <v>#DIV/0!</v>
      </c>
      <c r="BC123" s="10" t="e">
        <f>('Summary Sheet'!$F$26-'Summary Sheet'!$F$27)</f>
        <v>#DIV/0!</v>
      </c>
      <c r="BD123" t="e">
        <f>((BB123*$K$114)+(BC123*$L$114))*'Summary Sheet'!$F$6</f>
        <v>#DIV/0!</v>
      </c>
      <c r="BE123" t="e">
        <f>((BB123*$K$115)+(BC123*$L$115))*'Summary Sheet'!$F$6</f>
        <v>#DIV/0!</v>
      </c>
      <c r="BF123" t="e">
        <f>((BB123*$K$116)+(BC123*$L$116))*'Summary Sheet'!$F$6</f>
        <v>#DIV/0!</v>
      </c>
      <c r="BG123" t="e">
        <f>((BB123*$K$117)+(BC123*$L$117))*'Summary Sheet'!$F$6</f>
        <v>#DIV/0!</v>
      </c>
      <c r="BN123">
        <v>2020</v>
      </c>
      <c r="BO123" s="10" t="e">
        <f>('Summary Sheet'!$G$11-'Summary Sheet'!$G$12)+('Summary Sheet'!$G$13-'Summary Sheet'!$G$14)</f>
        <v>#DIV/0!</v>
      </c>
      <c r="BP123" s="10" t="e">
        <f>('Summary Sheet'!$G$26-'Summary Sheet'!$G$27)</f>
        <v>#DIV/0!</v>
      </c>
      <c r="BQ123" t="e">
        <f>((BO123*$K$114)+(BP123*$L$114))*'Summary Sheet'!$G$6</f>
        <v>#DIV/0!</v>
      </c>
      <c r="BR123" t="e">
        <f>((BO123*$K$115)+(BP123*$L$115))*'Summary Sheet'!$G$6</f>
        <v>#DIV/0!</v>
      </c>
      <c r="BS123" t="e">
        <f>((BO123*$K$116)+(BP123*$L$116))*'Summary Sheet'!$G$6</f>
        <v>#DIV/0!</v>
      </c>
      <c r="BT123" t="e">
        <f>((BO123*$K$117)+(BP123*$L$117))*'Summary Sheet'!$G$6</f>
        <v>#DIV/0!</v>
      </c>
    </row>
    <row r="124" spans="1:72" ht="12.75">
      <c r="A124">
        <v>2021</v>
      </c>
      <c r="B124" s="10" t="e">
        <f>('Summary Sheet'!$B$11-'Summary Sheet'!$B$12)+('Summary Sheet'!$B$13-'Summary Sheet'!$B$14)</f>
        <v>#DIV/0!</v>
      </c>
      <c r="C124" s="10" t="e">
        <f>('Summary Sheet'!$B$26-'Summary Sheet'!$B$27)</f>
        <v>#DIV/0!</v>
      </c>
      <c r="D124" s="227" t="e">
        <f>((B124*$K$114*'Summary Sheet'!$B$6)+(C124*$L$114*'Summary Sheet'!$B$6))</f>
        <v>#DIV/0!</v>
      </c>
      <c r="E124" s="227" t="e">
        <f>(B124*$K$115*'Summary Sheet'!$B$6)+(C124*$L$115*'Summary Sheet'!$B$6)</f>
        <v>#DIV/0!</v>
      </c>
      <c r="F124" s="227" t="e">
        <f>(B124*$K$116*'Summary Sheet'!$B$6)+(C124*$L$116*'Summary Sheet'!$B$6)</f>
        <v>#DIV/0!</v>
      </c>
      <c r="G124" s="229" t="e">
        <f>(B124*$K$117*'Summary Sheet'!$B$6)+(C124*$L$117*'Summary Sheet'!$B$6)</f>
        <v>#DIV/0!</v>
      </c>
      <c r="N124">
        <v>2021</v>
      </c>
      <c r="O124" s="10" t="e">
        <f>('Summary Sheet'!$C$11-'Summary Sheet'!$C$12)+('Summary Sheet'!$C$13-'Summary Sheet'!$C$14)</f>
        <v>#DIV/0!</v>
      </c>
      <c r="P124" s="10" t="e">
        <f>('Summary Sheet'!$C$26-'Summary Sheet'!$C$27)</f>
        <v>#DIV/0!</v>
      </c>
      <c r="Q124" t="e">
        <f>((O124*$K$114)+(P124*$L$114))*'Summary Sheet'!$C$6</f>
        <v>#DIV/0!</v>
      </c>
      <c r="R124" t="e">
        <f>((O124*$K$115)+(P124*$L$115))*'Summary Sheet'!$C$6</f>
        <v>#DIV/0!</v>
      </c>
      <c r="S124" t="e">
        <f>((O124*$K$116)+(P124*$L$116))*'Summary Sheet'!$C$6</f>
        <v>#DIV/0!</v>
      </c>
      <c r="T124" t="e">
        <f>((O124*$K$117)+(P124*$L$117))*'Summary Sheet'!$C$6</f>
        <v>#DIV/0!</v>
      </c>
      <c r="AA124">
        <v>2021</v>
      </c>
      <c r="AB124" s="10" t="e">
        <f>('Summary Sheet'!$D$11-'Summary Sheet'!$D$12)+('Summary Sheet'!$C$13-'Summary Sheet'!$D$14)</f>
        <v>#DIV/0!</v>
      </c>
      <c r="AC124" s="10" t="e">
        <f>('Summary Sheet'!$D$26-'Summary Sheet'!$D$27)</f>
        <v>#DIV/0!</v>
      </c>
      <c r="AD124" t="e">
        <f>((AB124*$K$114)+(AC124*$L$114))*'Summary Sheet'!$D$6</f>
        <v>#DIV/0!</v>
      </c>
      <c r="AE124" t="e">
        <f>((AB124*$K$115)+(AC124*$L$115))*'Summary Sheet'!$D$6</f>
        <v>#DIV/0!</v>
      </c>
      <c r="AF124" t="e">
        <f>((AB124*$K$116)+(AC124*$L$116))*'Summary Sheet'!$D$6</f>
        <v>#DIV/0!</v>
      </c>
      <c r="AG124" t="e">
        <f>((AB124*$K$117)+(AC124*$L$117))*'Summary Sheet'!$D$6</f>
        <v>#DIV/0!</v>
      </c>
      <c r="AN124">
        <v>2021</v>
      </c>
      <c r="AO124" s="10" t="e">
        <f>('Summary Sheet'!$E$11-'Summary Sheet'!$E$12)+('Summary Sheet'!$E$13-'Summary Sheet'!$E$14)</f>
        <v>#DIV/0!</v>
      </c>
      <c r="AP124" s="10" t="e">
        <f>('Summary Sheet'!$E$26-'Summary Sheet'!$E$27)</f>
        <v>#DIV/0!</v>
      </c>
      <c r="AQ124" t="e">
        <f>((AO124*$K$114)+(AP124*$L$114))*'Summary Sheet'!$E$6</f>
        <v>#DIV/0!</v>
      </c>
      <c r="AR124" t="e">
        <f>((AO124*$K$115)+(AP124*$L$115))*'Summary Sheet'!$E$6</f>
        <v>#DIV/0!</v>
      </c>
      <c r="AS124" t="e">
        <f>((AO124*$K$116)+(AP124*$L$116))*'Summary Sheet'!$E$6</f>
        <v>#DIV/0!</v>
      </c>
      <c r="AT124" t="e">
        <f>((AO124*$K$117)+(AP124*$L$117))*'Summary Sheet'!$E$6</f>
        <v>#DIV/0!</v>
      </c>
      <c r="BA124">
        <v>2021</v>
      </c>
      <c r="BB124" s="10" t="e">
        <f>('Summary Sheet'!$F$11-'Summary Sheet'!$F$12)+('Summary Sheet'!$F$13-'Summary Sheet'!$F$14)</f>
        <v>#DIV/0!</v>
      </c>
      <c r="BC124" s="10" t="e">
        <f>('Summary Sheet'!$F$26-'Summary Sheet'!$F$27)</f>
        <v>#DIV/0!</v>
      </c>
      <c r="BD124" t="e">
        <f>((BB124*$K$114)+(BC124*$L$114))*'Summary Sheet'!$F$6</f>
        <v>#DIV/0!</v>
      </c>
      <c r="BE124" t="e">
        <f>((BB124*$K$115)+(BC124*$L$115))*'Summary Sheet'!$F$6</f>
        <v>#DIV/0!</v>
      </c>
      <c r="BF124" t="e">
        <f>((BB124*$K$116)+(BC124*$L$116))*'Summary Sheet'!$F$6</f>
        <v>#DIV/0!</v>
      </c>
      <c r="BG124" t="e">
        <f>((BB124*$K$117)+(BC124*$L$117))*'Summary Sheet'!$F$6</f>
        <v>#DIV/0!</v>
      </c>
      <c r="BN124">
        <v>2021</v>
      </c>
      <c r="BO124" s="10" t="e">
        <f>('Summary Sheet'!$G$11-'Summary Sheet'!$G$12)+('Summary Sheet'!$G$13-'Summary Sheet'!$G$14)</f>
        <v>#DIV/0!</v>
      </c>
      <c r="BP124" s="10" t="e">
        <f>('Summary Sheet'!$G$26-'Summary Sheet'!$G$27)</f>
        <v>#DIV/0!</v>
      </c>
      <c r="BQ124" t="e">
        <f>((BO124*$K$114)+(BP124*$L$114))*'Summary Sheet'!$G$6</f>
        <v>#DIV/0!</v>
      </c>
      <c r="BR124" t="e">
        <f>((BO124*$K$115)+(BP124*$L$115))*'Summary Sheet'!$G$6</f>
        <v>#DIV/0!</v>
      </c>
      <c r="BS124" t="e">
        <f>((BO124*$K$116)+(BP124*$L$116))*'Summary Sheet'!$G$6</f>
        <v>#DIV/0!</v>
      </c>
      <c r="BT124" t="e">
        <f>((BO124*$K$117)+(BP124*$L$117))*'Summary Sheet'!$G$6</f>
        <v>#DIV/0!</v>
      </c>
    </row>
    <row r="125" spans="1:72" ht="12.75">
      <c r="A125">
        <v>2022</v>
      </c>
      <c r="B125" s="10" t="e">
        <f>('Summary Sheet'!$B$11-'Summary Sheet'!$B$12)+('Summary Sheet'!$B$13-'Summary Sheet'!$B$14)</f>
        <v>#DIV/0!</v>
      </c>
      <c r="C125" s="10" t="e">
        <f>('Summary Sheet'!$B$26-'Summary Sheet'!$B$27)</f>
        <v>#DIV/0!</v>
      </c>
      <c r="D125" s="227" t="e">
        <f>((B125*$K$114*'Summary Sheet'!$B$6)+(C125*$L$114*'Summary Sheet'!$B$6))</f>
        <v>#DIV/0!</v>
      </c>
      <c r="E125" s="227" t="e">
        <f>(B125*$K$115*'Summary Sheet'!$B$6)+(C125*$L$115*'Summary Sheet'!$B$6)</f>
        <v>#DIV/0!</v>
      </c>
      <c r="F125" s="227" t="e">
        <f>(B125*$K$116*'Summary Sheet'!$B$6)+(C125*$L$116*'Summary Sheet'!$B$6)</f>
        <v>#DIV/0!</v>
      </c>
      <c r="G125" s="229" t="e">
        <f>(B125*$K$117*'Summary Sheet'!$B$6)+(C125*$L$117*'Summary Sheet'!$B$6)</f>
        <v>#DIV/0!</v>
      </c>
      <c r="N125">
        <v>2022</v>
      </c>
      <c r="O125" s="10" t="e">
        <f>('Summary Sheet'!$C$11-'Summary Sheet'!$C$12)+('Summary Sheet'!$C$13-'Summary Sheet'!$C$14)</f>
        <v>#DIV/0!</v>
      </c>
      <c r="P125" s="10" t="e">
        <f>('Summary Sheet'!$C$26-'Summary Sheet'!$C$27)</f>
        <v>#DIV/0!</v>
      </c>
      <c r="Q125" t="e">
        <f>((O125*$K$114)+(P125*$L$114))*'Summary Sheet'!$C$6</f>
        <v>#DIV/0!</v>
      </c>
      <c r="R125" t="e">
        <f>((O125*$K$115)+(P125*$L$115))*'Summary Sheet'!$C$6</f>
        <v>#DIV/0!</v>
      </c>
      <c r="S125" t="e">
        <f>((O125*$K$116)+(P125*$L$116))*'Summary Sheet'!$C$6</f>
        <v>#DIV/0!</v>
      </c>
      <c r="T125" t="e">
        <f>((O125*$K$117)+(P125*$L$117))*'Summary Sheet'!$C$6</f>
        <v>#DIV/0!</v>
      </c>
      <c r="AA125">
        <v>2022</v>
      </c>
      <c r="AB125" s="10" t="e">
        <f>('Summary Sheet'!$D$11-'Summary Sheet'!$D$12)+('Summary Sheet'!$C$13-'Summary Sheet'!$D$14)</f>
        <v>#DIV/0!</v>
      </c>
      <c r="AC125" s="10" t="e">
        <f>('Summary Sheet'!$D$26-'Summary Sheet'!$D$27)</f>
        <v>#DIV/0!</v>
      </c>
      <c r="AD125" t="e">
        <f>((AB125*$K$114)+(AC125*$L$114))*'Summary Sheet'!$D$6</f>
        <v>#DIV/0!</v>
      </c>
      <c r="AE125" t="e">
        <f>((AB125*$K$115)+(AC125*$L$115))*'Summary Sheet'!$D$6</f>
        <v>#DIV/0!</v>
      </c>
      <c r="AF125" t="e">
        <f>((AB125*$K$116)+(AC125*$L$116))*'Summary Sheet'!$D$6</f>
        <v>#DIV/0!</v>
      </c>
      <c r="AG125" t="e">
        <f>((AB125*$K$117)+(AC125*$L$117))*'Summary Sheet'!$D$6</f>
        <v>#DIV/0!</v>
      </c>
      <c r="AN125">
        <v>2022</v>
      </c>
      <c r="AO125" s="10" t="e">
        <f>('Summary Sheet'!$E$11-'Summary Sheet'!$E$12)+('Summary Sheet'!$E$13-'Summary Sheet'!$E$14)</f>
        <v>#DIV/0!</v>
      </c>
      <c r="AP125" s="10" t="e">
        <f>('Summary Sheet'!$E$26-'Summary Sheet'!$E$27)</f>
        <v>#DIV/0!</v>
      </c>
      <c r="AQ125" t="e">
        <f>((AO125*$K$114)+(AP125*$L$114))*'Summary Sheet'!$E$6</f>
        <v>#DIV/0!</v>
      </c>
      <c r="AR125" t="e">
        <f>((AO125*$K$115)+(AP125*$L$115))*'Summary Sheet'!$E$6</f>
        <v>#DIV/0!</v>
      </c>
      <c r="AS125" t="e">
        <f>((AO125*$K$116)+(AP125*$L$116))*'Summary Sheet'!$E$6</f>
        <v>#DIV/0!</v>
      </c>
      <c r="AT125" t="e">
        <f>((AO125*$K$117)+(AP125*$L$117))*'Summary Sheet'!$E$6</f>
        <v>#DIV/0!</v>
      </c>
      <c r="BA125">
        <v>2022</v>
      </c>
      <c r="BB125" s="10" t="e">
        <f>('Summary Sheet'!$F$11-'Summary Sheet'!$F$12)+('Summary Sheet'!$F$13-'Summary Sheet'!$F$14)</f>
        <v>#DIV/0!</v>
      </c>
      <c r="BC125" s="10" t="e">
        <f>('Summary Sheet'!$F$26-'Summary Sheet'!$F$27)</f>
        <v>#DIV/0!</v>
      </c>
      <c r="BD125" t="e">
        <f>((BB125*$K$114)+(BC125*$L$114))*'Summary Sheet'!$F$6</f>
        <v>#DIV/0!</v>
      </c>
      <c r="BE125" t="e">
        <f>((BB125*$K$115)+(BC125*$L$115))*'Summary Sheet'!$F$6</f>
        <v>#DIV/0!</v>
      </c>
      <c r="BF125" t="e">
        <f>((BB125*$K$116)+(BC125*$L$116))*'Summary Sheet'!$F$6</f>
        <v>#DIV/0!</v>
      </c>
      <c r="BG125" t="e">
        <f>((BB125*$K$117)+(BC125*$L$117))*'Summary Sheet'!$F$6</f>
        <v>#DIV/0!</v>
      </c>
      <c r="BN125">
        <v>2022</v>
      </c>
      <c r="BO125" s="10" t="e">
        <f>('Summary Sheet'!$G$11-'Summary Sheet'!$G$12)+('Summary Sheet'!$G$13-'Summary Sheet'!$G$14)</f>
        <v>#DIV/0!</v>
      </c>
      <c r="BP125" s="10" t="e">
        <f>('Summary Sheet'!$G$26-'Summary Sheet'!$G$27)</f>
        <v>#DIV/0!</v>
      </c>
      <c r="BQ125" t="e">
        <f>((BO125*$K$114)+(BP125*$L$114))*'Summary Sheet'!$G$6</f>
        <v>#DIV/0!</v>
      </c>
      <c r="BR125" t="e">
        <f>((BO125*$K$115)+(BP125*$L$115))*'Summary Sheet'!$G$6</f>
        <v>#DIV/0!</v>
      </c>
      <c r="BS125" t="e">
        <f>((BO125*$K$116)+(BP125*$L$116))*'Summary Sheet'!$G$6</f>
        <v>#DIV/0!</v>
      </c>
      <c r="BT125" t="e">
        <f>((BO125*$K$117)+(BP125*$L$117))*'Summary Sheet'!$G$6</f>
        <v>#DIV/0!</v>
      </c>
    </row>
    <row r="126" spans="1:72" ht="12.75">
      <c r="A126">
        <v>2023</v>
      </c>
      <c r="B126" s="10" t="e">
        <f>('Summary Sheet'!$B$11-'Summary Sheet'!$B$12)+('Summary Sheet'!$B$13-'Summary Sheet'!$B$14)</f>
        <v>#DIV/0!</v>
      </c>
      <c r="C126" s="10" t="e">
        <f>('Summary Sheet'!$B$26-'Summary Sheet'!$B$27)</f>
        <v>#DIV/0!</v>
      </c>
      <c r="D126" s="227" t="e">
        <f>((B126*$K$114*'Summary Sheet'!$B$6)+(C126*$L$114*'Summary Sheet'!$B$6))</f>
        <v>#DIV/0!</v>
      </c>
      <c r="E126" s="227" t="e">
        <f>(B126*$K$115*'Summary Sheet'!$B$6)+(C126*$L$115*'Summary Sheet'!$B$6)</f>
        <v>#DIV/0!</v>
      </c>
      <c r="F126" s="227" t="e">
        <f>(B126*$K$116*'Summary Sheet'!$B$6)+(C126*$L$116*'Summary Sheet'!$B$6)</f>
        <v>#DIV/0!</v>
      </c>
      <c r="G126" s="229" t="e">
        <f>(B126*$K$117*'Summary Sheet'!$B$6)+(C126*$L$117*'Summary Sheet'!$B$6)</f>
        <v>#DIV/0!</v>
      </c>
      <c r="N126">
        <v>2023</v>
      </c>
      <c r="O126" s="10" t="e">
        <f>('Summary Sheet'!$C$11-'Summary Sheet'!$C$12)+('Summary Sheet'!$C$13-'Summary Sheet'!$C$14)</f>
        <v>#DIV/0!</v>
      </c>
      <c r="P126" s="10" t="e">
        <f>('Summary Sheet'!$C$26-'Summary Sheet'!$C$27)</f>
        <v>#DIV/0!</v>
      </c>
      <c r="Q126" t="e">
        <f>((O126*$K$114)+(P126*$L$114))*'Summary Sheet'!$C$6</f>
        <v>#DIV/0!</v>
      </c>
      <c r="R126" t="e">
        <f>((O126*$K$115)+(P126*$L$115))*'Summary Sheet'!$C$6</f>
        <v>#DIV/0!</v>
      </c>
      <c r="S126" t="e">
        <f>((O126*$K$116)+(P126*$L$116))*'Summary Sheet'!$C$6</f>
        <v>#DIV/0!</v>
      </c>
      <c r="T126" t="e">
        <f>((O126*$K$117)+(P126*$L$117))*'Summary Sheet'!$C$6</f>
        <v>#DIV/0!</v>
      </c>
      <c r="AA126">
        <v>2023</v>
      </c>
      <c r="AB126" s="10" t="e">
        <f>('Summary Sheet'!$D$11-'Summary Sheet'!$D$12)+('Summary Sheet'!$C$13-'Summary Sheet'!$D$14)</f>
        <v>#DIV/0!</v>
      </c>
      <c r="AC126" s="10" t="e">
        <f>('Summary Sheet'!$D$26-'Summary Sheet'!$D$27)</f>
        <v>#DIV/0!</v>
      </c>
      <c r="AD126" t="e">
        <f>((AB126*$K$114)+(AC126*$L$114))*'Summary Sheet'!$D$6</f>
        <v>#DIV/0!</v>
      </c>
      <c r="AE126" t="e">
        <f>((AB126*$K$115)+(AC126*$L$115))*'Summary Sheet'!$D$6</f>
        <v>#DIV/0!</v>
      </c>
      <c r="AF126" t="e">
        <f>((AB126*$K$116)+(AC126*$L$116))*'Summary Sheet'!$D$6</f>
        <v>#DIV/0!</v>
      </c>
      <c r="AG126" t="e">
        <f>((AB126*$K$117)+(AC126*$L$117))*'Summary Sheet'!$D$6</f>
        <v>#DIV/0!</v>
      </c>
      <c r="AN126">
        <v>2023</v>
      </c>
      <c r="AO126" s="10" t="e">
        <f>('Summary Sheet'!$E$11-'Summary Sheet'!$E$12)+('Summary Sheet'!$E$13-'Summary Sheet'!$E$14)</f>
        <v>#DIV/0!</v>
      </c>
      <c r="AP126" s="10" t="e">
        <f>('Summary Sheet'!$E$26-'Summary Sheet'!$E$27)</f>
        <v>#DIV/0!</v>
      </c>
      <c r="AQ126" t="e">
        <f>((AO126*$K$114)+(AP126*$L$114))*'Summary Sheet'!$E$6</f>
        <v>#DIV/0!</v>
      </c>
      <c r="AR126" t="e">
        <f>((AO126*$K$115)+(AP126*$L$115))*'Summary Sheet'!$E$6</f>
        <v>#DIV/0!</v>
      </c>
      <c r="AS126" t="e">
        <f>((AO126*$K$116)+(AP126*$L$116))*'Summary Sheet'!$E$6</f>
        <v>#DIV/0!</v>
      </c>
      <c r="AT126" t="e">
        <f>((AO126*$K$117)+(AP126*$L$117))*'Summary Sheet'!$E$6</f>
        <v>#DIV/0!</v>
      </c>
      <c r="BA126">
        <v>2023</v>
      </c>
      <c r="BB126" s="10" t="e">
        <f>('Summary Sheet'!$F$11-'Summary Sheet'!$F$12)+('Summary Sheet'!$F$13-'Summary Sheet'!$F$14)</f>
        <v>#DIV/0!</v>
      </c>
      <c r="BC126" s="10" t="e">
        <f>('Summary Sheet'!$F$26-'Summary Sheet'!$F$27)</f>
        <v>#DIV/0!</v>
      </c>
      <c r="BD126" t="e">
        <f>((BB126*$K$114)+(BC126*$L$114))*'Summary Sheet'!$F$6</f>
        <v>#DIV/0!</v>
      </c>
      <c r="BE126" t="e">
        <f>((BB126*$K$115)+(BC126*$L$115))*'Summary Sheet'!$F$6</f>
        <v>#DIV/0!</v>
      </c>
      <c r="BF126" t="e">
        <f>((BB126*$K$116)+(BC126*$L$116))*'Summary Sheet'!$F$6</f>
        <v>#DIV/0!</v>
      </c>
      <c r="BG126" t="e">
        <f>((BB126*$K$117)+(BC126*$L$117))*'Summary Sheet'!$F$6</f>
        <v>#DIV/0!</v>
      </c>
      <c r="BN126">
        <v>2023</v>
      </c>
      <c r="BO126" s="10" t="e">
        <f>('Summary Sheet'!$G$11-'Summary Sheet'!$G$12)+('Summary Sheet'!$G$13-'Summary Sheet'!$G$14)</f>
        <v>#DIV/0!</v>
      </c>
      <c r="BP126" s="10" t="e">
        <f>('Summary Sheet'!$G$26-'Summary Sheet'!$G$27)</f>
        <v>#DIV/0!</v>
      </c>
      <c r="BQ126" t="e">
        <f>((BO126*$K$114)+(BP126*$L$114))*'Summary Sheet'!$G$6</f>
        <v>#DIV/0!</v>
      </c>
      <c r="BR126" t="e">
        <f>((BO126*$K$115)+(BP126*$L$115))*'Summary Sheet'!$G$6</f>
        <v>#DIV/0!</v>
      </c>
      <c r="BS126" t="e">
        <f>((BO126*$K$116)+(BP126*$L$116))*'Summary Sheet'!$G$6</f>
        <v>#DIV/0!</v>
      </c>
      <c r="BT126" t="e">
        <f>((BO126*$K$117)+(BP126*$L$117))*'Summary Sheet'!$G$6</f>
        <v>#DIV/0!</v>
      </c>
    </row>
    <row r="127" spans="1:72" ht="12.75">
      <c r="A127">
        <v>2024</v>
      </c>
      <c r="B127" s="10" t="e">
        <f>('Summary Sheet'!$B$11-'Summary Sheet'!$B$12)+('Summary Sheet'!$B$13-'Summary Sheet'!$B$14)</f>
        <v>#DIV/0!</v>
      </c>
      <c r="C127" s="10" t="e">
        <f>('Summary Sheet'!$B$26-'Summary Sheet'!$B$27)</f>
        <v>#DIV/0!</v>
      </c>
      <c r="D127" s="227" t="e">
        <f>((B127*$K$114*'Summary Sheet'!$B$6)+(C127*$L$114*'Summary Sheet'!$B$6))</f>
        <v>#DIV/0!</v>
      </c>
      <c r="E127" s="227" t="e">
        <f>(B127*$K$115*'Summary Sheet'!$B$6)+(C127*$L$115*'Summary Sheet'!$B$6)</f>
        <v>#DIV/0!</v>
      </c>
      <c r="F127" s="227" t="e">
        <f>(B127*$K$116*'Summary Sheet'!$B$6)+(C127*$L$116*'Summary Sheet'!$B$6)</f>
        <v>#DIV/0!</v>
      </c>
      <c r="G127" s="229" t="e">
        <f>(B127*$K$117*'Summary Sheet'!$B$6)+(C127*$L$117*'Summary Sheet'!$B$6)</f>
        <v>#DIV/0!</v>
      </c>
      <c r="N127">
        <v>2024</v>
      </c>
      <c r="O127" s="10" t="e">
        <f>('Summary Sheet'!$C$11-'Summary Sheet'!$C$12)+('Summary Sheet'!$C$13-'Summary Sheet'!$C$14)</f>
        <v>#DIV/0!</v>
      </c>
      <c r="P127" s="10" t="e">
        <f>('Summary Sheet'!$C$26-'Summary Sheet'!$C$27)</f>
        <v>#DIV/0!</v>
      </c>
      <c r="Q127" t="e">
        <f>((O127*$K$114)+(P127*$L$114))*'Summary Sheet'!$C$6</f>
        <v>#DIV/0!</v>
      </c>
      <c r="R127" t="e">
        <f>((O127*$K$115)+(P127*$L$115))*'Summary Sheet'!$C$6</f>
        <v>#DIV/0!</v>
      </c>
      <c r="S127" t="e">
        <f>((O127*$K$116)+(P127*$L$116))*'Summary Sheet'!$C$6</f>
        <v>#DIV/0!</v>
      </c>
      <c r="T127" t="e">
        <f>((O127*$K$117)+(P127*$L$117))*'Summary Sheet'!$C$6</f>
        <v>#DIV/0!</v>
      </c>
      <c r="AA127">
        <v>2024</v>
      </c>
      <c r="AB127" s="10" t="e">
        <f>('Summary Sheet'!$D$11-'Summary Sheet'!$D$12)+('Summary Sheet'!$C$13-'Summary Sheet'!$D$14)</f>
        <v>#DIV/0!</v>
      </c>
      <c r="AC127" s="10" t="e">
        <f>('Summary Sheet'!$D$26-'Summary Sheet'!$D$27)</f>
        <v>#DIV/0!</v>
      </c>
      <c r="AD127" t="e">
        <f>((AB127*$K$114)+(AC127*$L$114))*'Summary Sheet'!$D$6</f>
        <v>#DIV/0!</v>
      </c>
      <c r="AE127" t="e">
        <f>((AB127*$K$115)+(AC127*$L$115))*'Summary Sheet'!$D$6</f>
        <v>#DIV/0!</v>
      </c>
      <c r="AF127" t="e">
        <f>((AB127*$K$116)+(AC127*$L$116))*'Summary Sheet'!$D$6</f>
        <v>#DIV/0!</v>
      </c>
      <c r="AG127" t="e">
        <f>((AB127*$K$117)+(AC127*$L$117))*'Summary Sheet'!$D$6</f>
        <v>#DIV/0!</v>
      </c>
      <c r="AN127">
        <v>2024</v>
      </c>
      <c r="AO127" s="10" t="e">
        <f>('Summary Sheet'!$E$11-'Summary Sheet'!$E$12)+('Summary Sheet'!$E$13-'Summary Sheet'!$E$14)</f>
        <v>#DIV/0!</v>
      </c>
      <c r="AP127" s="10" t="e">
        <f>('Summary Sheet'!$E$26-'Summary Sheet'!$E$27)</f>
        <v>#DIV/0!</v>
      </c>
      <c r="AQ127" t="e">
        <f>((AO127*$K$114)+(AP127*$L$114))*'Summary Sheet'!$E$6</f>
        <v>#DIV/0!</v>
      </c>
      <c r="AR127" t="e">
        <f>((AO127*$K$115)+(AP127*$L$115))*'Summary Sheet'!$E$6</f>
        <v>#DIV/0!</v>
      </c>
      <c r="AS127" t="e">
        <f>((AO127*$K$116)+(AP127*$L$116))*'Summary Sheet'!$E$6</f>
        <v>#DIV/0!</v>
      </c>
      <c r="AT127" t="e">
        <f>((AO127*$K$117)+(AP127*$L$117))*'Summary Sheet'!$E$6</f>
        <v>#DIV/0!</v>
      </c>
      <c r="BA127">
        <v>2024</v>
      </c>
      <c r="BB127" s="10" t="e">
        <f>('Summary Sheet'!$F$11-'Summary Sheet'!$F$12)+('Summary Sheet'!$F$13-'Summary Sheet'!$F$14)</f>
        <v>#DIV/0!</v>
      </c>
      <c r="BC127" s="10" t="e">
        <f>('Summary Sheet'!$F$26-'Summary Sheet'!$F$27)</f>
        <v>#DIV/0!</v>
      </c>
      <c r="BD127" t="e">
        <f>((BB127*$K$114)+(BC127*$L$114))*'Summary Sheet'!$F$6</f>
        <v>#DIV/0!</v>
      </c>
      <c r="BE127" t="e">
        <f>((BB127*$K$115)+(BC127*$L$115))*'Summary Sheet'!$F$6</f>
        <v>#DIV/0!</v>
      </c>
      <c r="BF127" t="e">
        <f>((BB127*$K$116)+(BC127*$L$116))*'Summary Sheet'!$F$6</f>
        <v>#DIV/0!</v>
      </c>
      <c r="BG127" t="e">
        <f>((BB127*$K$117)+(BC127*$L$117))*'Summary Sheet'!$F$6</f>
        <v>#DIV/0!</v>
      </c>
      <c r="BN127">
        <v>2024</v>
      </c>
      <c r="BO127" s="10" t="e">
        <f>('Summary Sheet'!$G$11-'Summary Sheet'!$G$12)+('Summary Sheet'!$G$13-'Summary Sheet'!$G$14)</f>
        <v>#DIV/0!</v>
      </c>
      <c r="BP127" s="10" t="e">
        <f>('Summary Sheet'!$G$26-'Summary Sheet'!$G$27)</f>
        <v>#DIV/0!</v>
      </c>
      <c r="BQ127" t="e">
        <f>((BO127*$K$114)+(BP127*$L$114))*'Summary Sheet'!$G$6</f>
        <v>#DIV/0!</v>
      </c>
      <c r="BR127" t="e">
        <f>((BO127*$K$115)+(BP127*$L$115))*'Summary Sheet'!$G$6</f>
        <v>#DIV/0!</v>
      </c>
      <c r="BS127" t="e">
        <f>((BO127*$K$116)+(BP127*$L$116))*'Summary Sheet'!$G$6</f>
        <v>#DIV/0!</v>
      </c>
      <c r="BT127" t="e">
        <f>((BO127*$K$117)+(BP127*$L$117))*'Summary Sheet'!$G$6</f>
        <v>#DIV/0!</v>
      </c>
    </row>
    <row r="128" spans="1:72" ht="12.75">
      <c r="A128">
        <v>2025</v>
      </c>
      <c r="B128" s="10" t="e">
        <f>('Summary Sheet'!$B$11-'Summary Sheet'!$B$12)+('Summary Sheet'!$B$13-'Summary Sheet'!$B$14)</f>
        <v>#DIV/0!</v>
      </c>
      <c r="C128" s="10" t="e">
        <f>('Summary Sheet'!$B$26-'Summary Sheet'!$B$27)</f>
        <v>#DIV/0!</v>
      </c>
      <c r="D128" s="227" t="e">
        <f>((B128*$K$114*'Summary Sheet'!$B$6)+(C128*$L$114*'Summary Sheet'!$B$6))</f>
        <v>#DIV/0!</v>
      </c>
      <c r="E128" s="227" t="e">
        <f>(B128*$K$115*'Summary Sheet'!$B$6)+(C128*$L$115*'Summary Sheet'!$B$6)</f>
        <v>#DIV/0!</v>
      </c>
      <c r="F128" s="227" t="e">
        <f>(B128*$K$116*'Summary Sheet'!$B$6)+(C128*$L$116*'Summary Sheet'!$B$6)</f>
        <v>#DIV/0!</v>
      </c>
      <c r="G128" s="229" t="e">
        <f>(B128*$K$117*'Summary Sheet'!$B$6)+(C128*$L$117*'Summary Sheet'!$B$6)</f>
        <v>#DIV/0!</v>
      </c>
      <c r="N128">
        <v>2025</v>
      </c>
      <c r="O128" s="10" t="e">
        <f>('Summary Sheet'!$C$11-'Summary Sheet'!$C$12)+('Summary Sheet'!$C$13-'Summary Sheet'!$C$14)</f>
        <v>#DIV/0!</v>
      </c>
      <c r="P128" s="10" t="e">
        <f>('Summary Sheet'!$C$26-'Summary Sheet'!$C$27)</f>
        <v>#DIV/0!</v>
      </c>
      <c r="Q128" t="e">
        <f>((O128*$K$114)+(P128*$L$114))*'Summary Sheet'!$C$6</f>
        <v>#DIV/0!</v>
      </c>
      <c r="R128" t="e">
        <f>((O128*$K$115)+(P128*$L$115))*'Summary Sheet'!$C$6</f>
        <v>#DIV/0!</v>
      </c>
      <c r="S128" t="e">
        <f>((O128*$K$116)+(P128*$L$116))*'Summary Sheet'!$C$6</f>
        <v>#DIV/0!</v>
      </c>
      <c r="T128" t="e">
        <f>((O128*$K$117)+(P128*$L$117))*'Summary Sheet'!$C$6</f>
        <v>#DIV/0!</v>
      </c>
      <c r="AA128">
        <v>2025</v>
      </c>
      <c r="AB128" s="10" t="e">
        <f>('Summary Sheet'!$D$11-'Summary Sheet'!$D$12)+('Summary Sheet'!$C$13-'Summary Sheet'!$D$14)</f>
        <v>#DIV/0!</v>
      </c>
      <c r="AC128" s="10" t="e">
        <f>('Summary Sheet'!$D$26-'Summary Sheet'!$D$27)</f>
        <v>#DIV/0!</v>
      </c>
      <c r="AD128" t="e">
        <f>((AB128*$K$114)+(AC128*$L$114))*'Summary Sheet'!$D$6</f>
        <v>#DIV/0!</v>
      </c>
      <c r="AE128" t="e">
        <f>((AB128*$K$115)+(AC128*$L$115))*'Summary Sheet'!$D$6</f>
        <v>#DIV/0!</v>
      </c>
      <c r="AF128" t="e">
        <f>((AB128*$K$116)+(AC128*$L$116))*'Summary Sheet'!$D$6</f>
        <v>#DIV/0!</v>
      </c>
      <c r="AG128" t="e">
        <f>((AB128*$K$117)+(AC128*$L$117))*'Summary Sheet'!$D$6</f>
        <v>#DIV/0!</v>
      </c>
      <c r="AN128">
        <v>2025</v>
      </c>
      <c r="AO128" s="10" t="e">
        <f>('Summary Sheet'!$E$11-'Summary Sheet'!$E$12)+('Summary Sheet'!$E$13-'Summary Sheet'!$E$14)</f>
        <v>#DIV/0!</v>
      </c>
      <c r="AP128" s="10" t="e">
        <f>('Summary Sheet'!$E$26-'Summary Sheet'!$E$27)</f>
        <v>#DIV/0!</v>
      </c>
      <c r="AQ128" t="e">
        <f>((AO128*$K$114)+(AP128*$L$114))*'Summary Sheet'!$E$6</f>
        <v>#DIV/0!</v>
      </c>
      <c r="AR128" t="e">
        <f>((AO128*$K$115)+(AP128*$L$115))*'Summary Sheet'!$E$6</f>
        <v>#DIV/0!</v>
      </c>
      <c r="AS128" t="e">
        <f>((AO128*$K$116)+(AP128*$L$116))*'Summary Sheet'!$E$6</f>
        <v>#DIV/0!</v>
      </c>
      <c r="AT128" t="e">
        <f>((AO128*$K$117)+(AP128*$L$117))*'Summary Sheet'!$E$6</f>
        <v>#DIV/0!</v>
      </c>
      <c r="BA128">
        <v>2025</v>
      </c>
      <c r="BB128" s="10" t="e">
        <f>('Summary Sheet'!$F$11-'Summary Sheet'!$F$12)+('Summary Sheet'!$F$13-'Summary Sheet'!$F$14)</f>
        <v>#DIV/0!</v>
      </c>
      <c r="BC128" s="10" t="e">
        <f>('Summary Sheet'!$F$26-'Summary Sheet'!$F$27)</f>
        <v>#DIV/0!</v>
      </c>
      <c r="BD128" t="e">
        <f>((BB128*$K$114)+(BC128*$L$114))*'Summary Sheet'!$F$6</f>
        <v>#DIV/0!</v>
      </c>
      <c r="BE128" t="e">
        <f>((BB128*$K$115)+(BC128*$L$115))*'Summary Sheet'!$F$6</f>
        <v>#DIV/0!</v>
      </c>
      <c r="BF128" t="e">
        <f>((BB128*$K$116)+(BC128*$L$116))*'Summary Sheet'!$F$6</f>
        <v>#DIV/0!</v>
      </c>
      <c r="BG128" t="e">
        <f>((BB128*$K$117)+(BC128*$L$117))*'Summary Sheet'!$F$6</f>
        <v>#DIV/0!</v>
      </c>
      <c r="BN128">
        <v>2025</v>
      </c>
      <c r="BO128" s="10" t="e">
        <f>('Summary Sheet'!$G$11-'Summary Sheet'!$G$12)+('Summary Sheet'!$G$13-'Summary Sheet'!$G$14)</f>
        <v>#DIV/0!</v>
      </c>
      <c r="BP128" s="10" t="e">
        <f>('Summary Sheet'!$G$26-'Summary Sheet'!$G$27)</f>
        <v>#DIV/0!</v>
      </c>
      <c r="BQ128" t="e">
        <f>((BO128*$K$114)+(BP128*$L$114))*'Summary Sheet'!$G$6</f>
        <v>#DIV/0!</v>
      </c>
      <c r="BR128" t="e">
        <f>((BO128*$K$115)+(BP128*$L$115))*'Summary Sheet'!$G$6</f>
        <v>#DIV/0!</v>
      </c>
      <c r="BS128" t="e">
        <f>((BO128*$K$116)+(BP128*$L$116))*'Summary Sheet'!$G$6</f>
        <v>#DIV/0!</v>
      </c>
      <c r="BT128" t="e">
        <f>((BO128*$K$117)+(BP128*$L$117))*'Summary Sheet'!$G$6</f>
        <v>#DIV/0!</v>
      </c>
    </row>
    <row r="129" spans="1:72" ht="12.75">
      <c r="A129">
        <v>2026</v>
      </c>
      <c r="B129" s="10" t="e">
        <f>('Summary Sheet'!$B$11-'Summary Sheet'!$B$12)+('Summary Sheet'!$B$13-'Summary Sheet'!$B$14)</f>
        <v>#DIV/0!</v>
      </c>
      <c r="C129" s="10" t="e">
        <f>('Summary Sheet'!$B$26-'Summary Sheet'!$B$27)</f>
        <v>#DIV/0!</v>
      </c>
      <c r="D129" s="227" t="e">
        <f>((B129*$K$114*'Summary Sheet'!$B$6)+(C129*$L$114*'Summary Sheet'!$B$6))</f>
        <v>#DIV/0!</v>
      </c>
      <c r="E129" s="227" t="e">
        <f>(B129*$K$115*'Summary Sheet'!$B$6)+(C129*$L$115*'Summary Sheet'!$B$6)</f>
        <v>#DIV/0!</v>
      </c>
      <c r="F129" s="227" t="e">
        <f>(B129*$K$116*'Summary Sheet'!$B$6)+(C129*$L$116*'Summary Sheet'!$B$6)</f>
        <v>#DIV/0!</v>
      </c>
      <c r="G129" s="229" t="e">
        <f>(B129*$K$117*'Summary Sheet'!$B$6)+(C129*$L$117*'Summary Sheet'!$B$6)</f>
        <v>#DIV/0!</v>
      </c>
      <c r="N129">
        <v>2026</v>
      </c>
      <c r="O129" s="10" t="e">
        <f>('Summary Sheet'!$C$11-'Summary Sheet'!$C$12)+('Summary Sheet'!$C$13-'Summary Sheet'!$C$14)</f>
        <v>#DIV/0!</v>
      </c>
      <c r="P129" s="10" t="e">
        <f>('Summary Sheet'!$C$26-'Summary Sheet'!$C$27)</f>
        <v>#DIV/0!</v>
      </c>
      <c r="Q129" t="e">
        <f>((O129*$K$114)+(P129*$L$114))*'Summary Sheet'!$C$6</f>
        <v>#DIV/0!</v>
      </c>
      <c r="R129" t="e">
        <f>((O129*$K$115)+(P129*$L$115))*'Summary Sheet'!$C$6</f>
        <v>#DIV/0!</v>
      </c>
      <c r="S129" t="e">
        <f>((O129*$K$116)+(P129*$L$116))*'Summary Sheet'!$C$6</f>
        <v>#DIV/0!</v>
      </c>
      <c r="T129" t="e">
        <f>((O129*$K$117)+(P129*$L$117))*'Summary Sheet'!$C$6</f>
        <v>#DIV/0!</v>
      </c>
      <c r="AA129">
        <v>2026</v>
      </c>
      <c r="AB129" s="10" t="e">
        <f>('Summary Sheet'!$D$11-'Summary Sheet'!$D$12)+('Summary Sheet'!$C$13-'Summary Sheet'!$D$14)</f>
        <v>#DIV/0!</v>
      </c>
      <c r="AC129" s="10" t="e">
        <f>('Summary Sheet'!$D$26-'Summary Sheet'!$D$27)</f>
        <v>#DIV/0!</v>
      </c>
      <c r="AD129" t="e">
        <f>((AB129*$K$114)+(AC129*$L$114))*'Summary Sheet'!$D$6</f>
        <v>#DIV/0!</v>
      </c>
      <c r="AE129" t="e">
        <f>((AB129*$K$115)+(AC129*$L$115))*'Summary Sheet'!$D$6</f>
        <v>#DIV/0!</v>
      </c>
      <c r="AF129" t="e">
        <f>((AB129*$K$116)+(AC129*$L$116))*'Summary Sheet'!$D$6</f>
        <v>#DIV/0!</v>
      </c>
      <c r="AG129" t="e">
        <f>((AB129*$K$117)+(AC129*$L$117))*'Summary Sheet'!$D$6</f>
        <v>#DIV/0!</v>
      </c>
      <c r="AN129">
        <v>2026</v>
      </c>
      <c r="AO129" s="10" t="e">
        <f>('Summary Sheet'!$E$11-'Summary Sheet'!$E$12)+('Summary Sheet'!$E$13-'Summary Sheet'!$E$14)</f>
        <v>#DIV/0!</v>
      </c>
      <c r="AP129" s="10" t="e">
        <f>('Summary Sheet'!$E$26-'Summary Sheet'!$E$27)</f>
        <v>#DIV/0!</v>
      </c>
      <c r="AQ129" t="e">
        <f>((AO129*$K$114)+(AP129*$L$114))*'Summary Sheet'!$E$6</f>
        <v>#DIV/0!</v>
      </c>
      <c r="AR129" t="e">
        <f>((AO129*$K$115)+(AP129*$L$115))*'Summary Sheet'!$E$6</f>
        <v>#DIV/0!</v>
      </c>
      <c r="AS129" t="e">
        <f>((AO129*$K$116)+(AP129*$L$116))*'Summary Sheet'!$E$6</f>
        <v>#DIV/0!</v>
      </c>
      <c r="AT129" t="e">
        <f>((AO129*$K$117)+(AP129*$L$117))*'Summary Sheet'!$E$6</f>
        <v>#DIV/0!</v>
      </c>
      <c r="BA129">
        <v>2026</v>
      </c>
      <c r="BB129" s="10" t="e">
        <f>('Summary Sheet'!$F$11-'Summary Sheet'!$F$12)+('Summary Sheet'!$F$13-'Summary Sheet'!$F$14)</f>
        <v>#DIV/0!</v>
      </c>
      <c r="BC129" s="10" t="e">
        <f>('Summary Sheet'!$F$26-'Summary Sheet'!$F$27)</f>
        <v>#DIV/0!</v>
      </c>
      <c r="BD129" t="e">
        <f>((BB129*$K$114)+(BC129*$L$114))*'Summary Sheet'!$F$6</f>
        <v>#DIV/0!</v>
      </c>
      <c r="BE129" t="e">
        <f>((BB129*$K$115)+(BC129*$L$115))*'Summary Sheet'!$F$6</f>
        <v>#DIV/0!</v>
      </c>
      <c r="BF129" t="e">
        <f>((BB129*$K$116)+(BC129*$L$116))*'Summary Sheet'!$F$6</f>
        <v>#DIV/0!</v>
      </c>
      <c r="BG129" t="e">
        <f>((BB129*$K$117)+(BC129*$L$117))*'Summary Sheet'!$F$6</f>
        <v>#DIV/0!</v>
      </c>
      <c r="BN129">
        <v>2026</v>
      </c>
      <c r="BO129" s="10" t="e">
        <f>('Summary Sheet'!$G$11-'Summary Sheet'!$G$12)+('Summary Sheet'!$G$13-'Summary Sheet'!$G$14)</f>
        <v>#DIV/0!</v>
      </c>
      <c r="BP129" s="10" t="e">
        <f>('Summary Sheet'!$G$26-'Summary Sheet'!$G$27)</f>
        <v>#DIV/0!</v>
      </c>
      <c r="BQ129" t="e">
        <f>((BO129*$K$114)+(BP129*$L$114))*'Summary Sheet'!$G$6</f>
        <v>#DIV/0!</v>
      </c>
      <c r="BR129" t="e">
        <f>((BO129*$K$115)+(BP129*$L$115))*'Summary Sheet'!$G$6</f>
        <v>#DIV/0!</v>
      </c>
      <c r="BS129" t="e">
        <f>((BO129*$K$116)+(BP129*$L$116))*'Summary Sheet'!$G$6</f>
        <v>#DIV/0!</v>
      </c>
      <c r="BT129" t="e">
        <f>((BO129*$K$117)+(BP129*$L$117))*'Summary Sheet'!$G$6</f>
        <v>#DIV/0!</v>
      </c>
    </row>
    <row r="130" spans="1:72" ht="12.75">
      <c r="A130">
        <v>2027</v>
      </c>
      <c r="B130" s="10" t="e">
        <f>('Summary Sheet'!$B$11-'Summary Sheet'!$B$12)+('Summary Sheet'!$B$13-'Summary Sheet'!$B$14)</f>
        <v>#DIV/0!</v>
      </c>
      <c r="C130" s="10" t="e">
        <f>('Summary Sheet'!$B$26-'Summary Sheet'!$B$27)</f>
        <v>#DIV/0!</v>
      </c>
      <c r="D130" s="227" t="e">
        <f>((B130*$K$114*'Summary Sheet'!$B$6)+(C130*$L$114*'Summary Sheet'!$B$6))</f>
        <v>#DIV/0!</v>
      </c>
      <c r="E130" s="227" t="e">
        <f>(B130*$K$115*'Summary Sheet'!$B$6)+(C130*$L$115*'Summary Sheet'!$B$6)</f>
        <v>#DIV/0!</v>
      </c>
      <c r="F130" s="227" t="e">
        <f>(B130*$K$116*'Summary Sheet'!$B$6)+(C130*$L$116*'Summary Sheet'!$B$6)</f>
        <v>#DIV/0!</v>
      </c>
      <c r="G130" s="229" t="e">
        <f>(B130*$K$117*'Summary Sheet'!$B$6)+(C130*$L$117*'Summary Sheet'!$B$6)</f>
        <v>#DIV/0!</v>
      </c>
      <c r="N130">
        <v>2027</v>
      </c>
      <c r="O130" s="10" t="e">
        <f>('Summary Sheet'!$C$11-'Summary Sheet'!$C$12)+('Summary Sheet'!$C$13-'Summary Sheet'!$C$14)</f>
        <v>#DIV/0!</v>
      </c>
      <c r="P130" s="10" t="e">
        <f>('Summary Sheet'!$C$26-'Summary Sheet'!$C$27)</f>
        <v>#DIV/0!</v>
      </c>
      <c r="Q130" t="e">
        <f>((O130*$K$114)+(P130*$L$114))*'Summary Sheet'!$C$6</f>
        <v>#DIV/0!</v>
      </c>
      <c r="R130" t="e">
        <f>((O130*$K$115)+(P130*$L$115))*'Summary Sheet'!$C$6</f>
        <v>#DIV/0!</v>
      </c>
      <c r="S130" t="e">
        <f>((O130*$K$116)+(P130*$L$116))*'Summary Sheet'!$C$6</f>
        <v>#DIV/0!</v>
      </c>
      <c r="T130" t="e">
        <f>((O130*$K$117)+(P130*$L$117))*'Summary Sheet'!$C$6</f>
        <v>#DIV/0!</v>
      </c>
      <c r="AA130">
        <v>2027</v>
      </c>
      <c r="AB130" s="10" t="e">
        <f>('Summary Sheet'!$D$11-'Summary Sheet'!$D$12)+('Summary Sheet'!$C$13-'Summary Sheet'!$D$14)</f>
        <v>#DIV/0!</v>
      </c>
      <c r="AC130" s="10" t="e">
        <f>('Summary Sheet'!$D$26-'Summary Sheet'!$D$27)</f>
        <v>#DIV/0!</v>
      </c>
      <c r="AD130" t="e">
        <f>((AB130*$K$114)+(AC130*$L$114))*'Summary Sheet'!$D$6</f>
        <v>#DIV/0!</v>
      </c>
      <c r="AE130" t="e">
        <f>((AB130*$K$115)+(AC130*$L$115))*'Summary Sheet'!$D$6</f>
        <v>#DIV/0!</v>
      </c>
      <c r="AF130" t="e">
        <f>((AB130*$K$116)+(AC130*$L$116))*'Summary Sheet'!$D$6</f>
        <v>#DIV/0!</v>
      </c>
      <c r="AG130" t="e">
        <f>((AB130*$K$117)+(AC130*$L$117))*'Summary Sheet'!$D$6</f>
        <v>#DIV/0!</v>
      </c>
      <c r="AN130">
        <v>2027</v>
      </c>
      <c r="AO130" s="10" t="e">
        <f>('Summary Sheet'!$E$11-'Summary Sheet'!$E$12)+('Summary Sheet'!$E$13-'Summary Sheet'!$E$14)</f>
        <v>#DIV/0!</v>
      </c>
      <c r="AP130" s="10" t="e">
        <f>('Summary Sheet'!$E$26-'Summary Sheet'!$E$27)</f>
        <v>#DIV/0!</v>
      </c>
      <c r="AQ130" t="e">
        <f>((AO130*$K$114)+(AP130*$L$114))*'Summary Sheet'!$E$6</f>
        <v>#DIV/0!</v>
      </c>
      <c r="AR130" t="e">
        <f>((AO130*$K$115)+(AP130*$L$115))*'Summary Sheet'!$E$6</f>
        <v>#DIV/0!</v>
      </c>
      <c r="AS130" t="e">
        <f>((AO130*$K$116)+(AP130*$L$116))*'Summary Sheet'!$E$6</f>
        <v>#DIV/0!</v>
      </c>
      <c r="AT130" t="e">
        <f>((AO130*$K$117)+(AP130*$L$117))*'Summary Sheet'!$E$6</f>
        <v>#DIV/0!</v>
      </c>
      <c r="BA130">
        <v>2027</v>
      </c>
      <c r="BB130" s="10" t="e">
        <f>('Summary Sheet'!$F$11-'Summary Sheet'!$F$12)+('Summary Sheet'!$F$13-'Summary Sheet'!$F$14)</f>
        <v>#DIV/0!</v>
      </c>
      <c r="BC130" s="10" t="e">
        <f>('Summary Sheet'!$F$26-'Summary Sheet'!$F$27)</f>
        <v>#DIV/0!</v>
      </c>
      <c r="BD130" t="e">
        <f>((BB130*$K$114)+(BC130*$L$114))*'Summary Sheet'!$F$6</f>
        <v>#DIV/0!</v>
      </c>
      <c r="BE130" t="e">
        <f>((BB130*$K$115)+(BC130*$L$115))*'Summary Sheet'!$F$6</f>
        <v>#DIV/0!</v>
      </c>
      <c r="BF130" t="e">
        <f>((BB130*$K$116)+(BC130*$L$116))*'Summary Sheet'!$F$6</f>
        <v>#DIV/0!</v>
      </c>
      <c r="BG130" t="e">
        <f>((BB130*$K$117)+(BC130*$L$117))*'Summary Sheet'!$F$6</f>
        <v>#DIV/0!</v>
      </c>
      <c r="BN130">
        <v>2027</v>
      </c>
      <c r="BO130" s="10" t="e">
        <f>('Summary Sheet'!$G$11-'Summary Sheet'!$G$12)+('Summary Sheet'!$G$13-'Summary Sheet'!$G$14)</f>
        <v>#DIV/0!</v>
      </c>
      <c r="BP130" s="10" t="e">
        <f>('Summary Sheet'!$G$26-'Summary Sheet'!$G$27)</f>
        <v>#DIV/0!</v>
      </c>
      <c r="BQ130" t="e">
        <f>((BO130*$K$114)+(BP130*$L$114))*'Summary Sheet'!$G$6</f>
        <v>#DIV/0!</v>
      </c>
      <c r="BR130" t="e">
        <f>((BO130*$K$115)+(BP130*$L$115))*'Summary Sheet'!$G$6</f>
        <v>#DIV/0!</v>
      </c>
      <c r="BS130" t="e">
        <f>((BO130*$K$116)+(BP130*$L$116))*'Summary Sheet'!$G$6</f>
        <v>#DIV/0!</v>
      </c>
      <c r="BT130" t="e">
        <f>((BO130*$K$117)+(BP130*$L$117))*'Summary Sheet'!$G$6</f>
        <v>#DIV/0!</v>
      </c>
    </row>
    <row r="131" spans="1:72" ht="12.75">
      <c r="A131">
        <v>2028</v>
      </c>
      <c r="B131" s="10" t="e">
        <f>('Summary Sheet'!$B$11-'Summary Sheet'!$B$12)+('Summary Sheet'!$B$13-'Summary Sheet'!$B$14)</f>
        <v>#DIV/0!</v>
      </c>
      <c r="C131" s="10" t="e">
        <f>('Summary Sheet'!$B$26-'Summary Sheet'!$B$27)</f>
        <v>#DIV/0!</v>
      </c>
      <c r="D131" s="227" t="e">
        <f>((B131*$K$114*'Summary Sheet'!$B$6)+(C131*$L$114*'Summary Sheet'!$B$6))</f>
        <v>#DIV/0!</v>
      </c>
      <c r="E131" s="227" t="e">
        <f>(B131*$K$115*'Summary Sheet'!$B$6)+(C131*$L$115*'Summary Sheet'!$B$6)</f>
        <v>#DIV/0!</v>
      </c>
      <c r="F131" s="227" t="e">
        <f>(B131*$K$116*'Summary Sheet'!$B$6)+(C131*$L$116*'Summary Sheet'!$B$6)</f>
        <v>#DIV/0!</v>
      </c>
      <c r="G131" s="229" t="e">
        <f>(B131*$K$117*'Summary Sheet'!$B$6)+(C131*$L$117*'Summary Sheet'!$B$6)</f>
        <v>#DIV/0!</v>
      </c>
      <c r="N131">
        <v>2028</v>
      </c>
      <c r="O131" s="10" t="e">
        <f>('Summary Sheet'!$C$11-'Summary Sheet'!$C$12)+('Summary Sheet'!$C$13-'Summary Sheet'!$C$14)</f>
        <v>#DIV/0!</v>
      </c>
      <c r="P131" s="10" t="e">
        <f>('Summary Sheet'!$C$26-'Summary Sheet'!$C$27)</f>
        <v>#DIV/0!</v>
      </c>
      <c r="Q131" t="e">
        <f>((O131*$K$114)+(P131*$L$114))*'Summary Sheet'!$C$6</f>
        <v>#DIV/0!</v>
      </c>
      <c r="R131" t="e">
        <f>((O131*$K$115)+(P131*$L$115))*'Summary Sheet'!$C$6</f>
        <v>#DIV/0!</v>
      </c>
      <c r="S131" t="e">
        <f>((O131*$K$116)+(P131*$L$116))*'Summary Sheet'!$C$6</f>
        <v>#DIV/0!</v>
      </c>
      <c r="T131" t="e">
        <f>((O131*$K$117)+(P131*$L$117))*'Summary Sheet'!$C$6</f>
        <v>#DIV/0!</v>
      </c>
      <c r="AA131">
        <v>2028</v>
      </c>
      <c r="AB131" s="10" t="e">
        <f>('Summary Sheet'!$D$11-'Summary Sheet'!$D$12)+('Summary Sheet'!$C$13-'Summary Sheet'!$D$14)</f>
        <v>#DIV/0!</v>
      </c>
      <c r="AC131" s="10" t="e">
        <f>('Summary Sheet'!$D$26-'Summary Sheet'!$D$27)</f>
        <v>#DIV/0!</v>
      </c>
      <c r="AD131" t="e">
        <f>((AB131*$K$114)+(AC131*$L$114))*'Summary Sheet'!$D$6</f>
        <v>#DIV/0!</v>
      </c>
      <c r="AE131" t="e">
        <f>((AB131*$K$115)+(AC131*$L$115))*'Summary Sheet'!$D$6</f>
        <v>#DIV/0!</v>
      </c>
      <c r="AF131" t="e">
        <f>((AB131*$K$116)+(AC131*$L$116))*'Summary Sheet'!$D$6</f>
        <v>#DIV/0!</v>
      </c>
      <c r="AG131" t="e">
        <f>((AB131*$K$117)+(AC131*$L$117))*'Summary Sheet'!$D$6</f>
        <v>#DIV/0!</v>
      </c>
      <c r="AN131">
        <v>2028</v>
      </c>
      <c r="AO131" s="10" t="e">
        <f>('Summary Sheet'!$E$11-'Summary Sheet'!$E$12)+('Summary Sheet'!$E$13-'Summary Sheet'!$E$14)</f>
        <v>#DIV/0!</v>
      </c>
      <c r="AP131" s="10" t="e">
        <f>('Summary Sheet'!$E$26-'Summary Sheet'!$E$27)</f>
        <v>#DIV/0!</v>
      </c>
      <c r="AQ131" t="e">
        <f>((AO131*$K$114)+(AP131*$L$114))*'Summary Sheet'!$E$6</f>
        <v>#DIV/0!</v>
      </c>
      <c r="AR131" t="e">
        <f>((AO131*$K$115)+(AP131*$L$115))*'Summary Sheet'!$E$6</f>
        <v>#DIV/0!</v>
      </c>
      <c r="AS131" t="e">
        <f>((AO131*$K$116)+(AP131*$L$116))*'Summary Sheet'!$E$6</f>
        <v>#DIV/0!</v>
      </c>
      <c r="AT131" t="e">
        <f>((AO131*$K$117)+(AP131*$L$117))*'Summary Sheet'!$E$6</f>
        <v>#DIV/0!</v>
      </c>
      <c r="BA131">
        <v>2028</v>
      </c>
      <c r="BB131" s="10" t="e">
        <f>('Summary Sheet'!$F$11-'Summary Sheet'!$F$12)+('Summary Sheet'!$F$13-'Summary Sheet'!$F$14)</f>
        <v>#DIV/0!</v>
      </c>
      <c r="BC131" s="10" t="e">
        <f>('Summary Sheet'!$F$26-'Summary Sheet'!$F$27)</f>
        <v>#DIV/0!</v>
      </c>
      <c r="BD131" t="e">
        <f>((BB131*$K$114)+(BC131*$L$114))*'Summary Sheet'!$F$6</f>
        <v>#DIV/0!</v>
      </c>
      <c r="BE131" t="e">
        <f>((BB131*$K$115)+(BC131*$L$115))*'Summary Sheet'!$F$6</f>
        <v>#DIV/0!</v>
      </c>
      <c r="BF131" t="e">
        <f>((BB131*$K$116)+(BC131*$L$116))*'Summary Sheet'!$F$6</f>
        <v>#DIV/0!</v>
      </c>
      <c r="BG131" t="e">
        <f>((BB131*$K$117)+(BC131*$L$117))*'Summary Sheet'!$F$6</f>
        <v>#DIV/0!</v>
      </c>
      <c r="BN131">
        <v>2028</v>
      </c>
      <c r="BO131" s="10" t="e">
        <f>('Summary Sheet'!$G$11-'Summary Sheet'!$G$12)+('Summary Sheet'!$G$13-'Summary Sheet'!$G$14)</f>
        <v>#DIV/0!</v>
      </c>
      <c r="BP131" s="10" t="e">
        <f>('Summary Sheet'!$G$26-'Summary Sheet'!$G$27)</f>
        <v>#DIV/0!</v>
      </c>
      <c r="BQ131" t="e">
        <f>((BO131*$K$114)+(BP131*$L$114))*'Summary Sheet'!$G$6</f>
        <v>#DIV/0!</v>
      </c>
      <c r="BR131" t="e">
        <f>((BO131*$K$115)+(BP131*$L$115))*'Summary Sheet'!$G$6</f>
        <v>#DIV/0!</v>
      </c>
      <c r="BS131" t="e">
        <f>((BO131*$K$116)+(BP131*$L$116))*'Summary Sheet'!$G$6</f>
        <v>#DIV/0!</v>
      </c>
      <c r="BT131" t="e">
        <f>((BO131*$K$117)+(BP131*$L$117))*'Summary Sheet'!$G$6</f>
        <v>#DIV/0!</v>
      </c>
    </row>
    <row r="133" spans="3:72" ht="12.75">
      <c r="C133" t="s">
        <v>197</v>
      </c>
      <c r="D133" s="68" t="e">
        <f>SUM(D112:D131)/2000</f>
        <v>#DIV/0!</v>
      </c>
      <c r="E133" s="10" t="e">
        <f>SUM(E112:E131)/2000</f>
        <v>#DIV/0!</v>
      </c>
      <c r="F133" s="10" t="e">
        <f>SUM(F112:F131)/2000</f>
        <v>#DIV/0!</v>
      </c>
      <c r="G133" s="68" t="e">
        <f>SUM(G112:G131)</f>
        <v>#DIV/0!</v>
      </c>
      <c r="P133" t="s">
        <v>197</v>
      </c>
      <c r="Q133" s="68" t="e">
        <f>SUM(Q112:Q131)/2000</f>
        <v>#DIV/0!</v>
      </c>
      <c r="R133" s="10" t="e">
        <f>SUM(R112:R131)/2000</f>
        <v>#DIV/0!</v>
      </c>
      <c r="S133" s="10" t="e">
        <f>SUM(S112:S131)/2000</f>
        <v>#DIV/0!</v>
      </c>
      <c r="T133" t="e">
        <f>SUM(T112:T131)</f>
        <v>#DIV/0!</v>
      </c>
      <c r="AC133" t="s">
        <v>197</v>
      </c>
      <c r="AD133" s="68" t="e">
        <f>SUM(AD112:AD131)/2000</f>
        <v>#DIV/0!</v>
      </c>
      <c r="AE133" s="10" t="e">
        <f>SUM(AE112:AE131)/2000</f>
        <v>#DIV/0!</v>
      </c>
      <c r="AF133" s="10" t="e">
        <f>SUM(AF112:AF131)/2000</f>
        <v>#DIV/0!</v>
      </c>
      <c r="AG133" t="e">
        <f>SUM(AG112:AG131)</f>
        <v>#DIV/0!</v>
      </c>
      <c r="AP133" t="s">
        <v>197</v>
      </c>
      <c r="AQ133" s="68" t="e">
        <f>SUM(AQ112:AQ131)/2000</f>
        <v>#DIV/0!</v>
      </c>
      <c r="AR133" s="10" t="e">
        <f>SUM(AR112:AR131)/2000</f>
        <v>#DIV/0!</v>
      </c>
      <c r="AS133" s="10" t="e">
        <f>SUM(AS112:AS131)/2000</f>
        <v>#DIV/0!</v>
      </c>
      <c r="AT133" t="e">
        <f>SUM(AT112:AT131)</f>
        <v>#DIV/0!</v>
      </c>
      <c r="BC133" t="s">
        <v>197</v>
      </c>
      <c r="BD133" s="68" t="e">
        <f>SUM(BD112:BD131)/2000</f>
        <v>#DIV/0!</v>
      </c>
      <c r="BE133" s="10" t="e">
        <f>SUM(BE112:BE131)/2000</f>
        <v>#DIV/0!</v>
      </c>
      <c r="BF133" s="10" t="e">
        <f>SUM(BF112:BF131)/2000</f>
        <v>#DIV/0!</v>
      </c>
      <c r="BG133" t="e">
        <f>SUM(BG112:BG131)</f>
        <v>#DIV/0!</v>
      </c>
      <c r="BP133" t="s">
        <v>197</v>
      </c>
      <c r="BQ133" s="68" t="e">
        <f>SUM(BQ112:BQ131)/2000</f>
        <v>#DIV/0!</v>
      </c>
      <c r="BR133" s="10" t="e">
        <f>SUM(BR112:BR131)/2000</f>
        <v>#DIV/0!</v>
      </c>
      <c r="BS133" s="10" t="e">
        <f>SUM(BS112:BS131)/2000</f>
        <v>#DIV/0!</v>
      </c>
      <c r="BT133" t="e">
        <f>SUM(BT112:BT131)</f>
        <v>#DIV/0!</v>
      </c>
    </row>
    <row r="136" spans="1:71" ht="12.75">
      <c r="A136" s="246" t="s">
        <v>737</v>
      </c>
      <c r="B136" s="246"/>
      <c r="C136" s="246"/>
      <c r="D136" s="246"/>
      <c r="E136" s="246"/>
      <c r="F136" s="245"/>
      <c r="N136" s="246" t="s">
        <v>737</v>
      </c>
      <c r="O136" s="246"/>
      <c r="P136" s="246"/>
      <c r="Q136" s="246"/>
      <c r="R136" s="246"/>
      <c r="S136" s="245"/>
      <c r="AA136" s="246" t="s">
        <v>737</v>
      </c>
      <c r="AB136" s="246"/>
      <c r="AC136" s="246"/>
      <c r="AD136" s="246"/>
      <c r="AE136" s="246"/>
      <c r="AF136" s="245"/>
      <c r="AN136" s="246" t="s">
        <v>737</v>
      </c>
      <c r="AO136" s="246"/>
      <c r="AP136" s="246"/>
      <c r="AQ136" s="246"/>
      <c r="AR136" s="246"/>
      <c r="AS136" s="245"/>
      <c r="BA136" s="246"/>
      <c r="BB136" s="246"/>
      <c r="BC136" s="246"/>
      <c r="BD136" s="246"/>
      <c r="BE136" s="246"/>
      <c r="BF136" s="245"/>
      <c r="BN136" s="246" t="s">
        <v>737</v>
      </c>
      <c r="BO136" s="246"/>
      <c r="BP136" s="246"/>
      <c r="BQ136" s="246"/>
      <c r="BR136" s="246"/>
      <c r="BS136" s="245"/>
    </row>
    <row r="137" spans="1:71" ht="38.25">
      <c r="A137" s="7" t="s">
        <v>159</v>
      </c>
      <c r="B137" s="7" t="s">
        <v>144</v>
      </c>
      <c r="C137" s="7" t="s">
        <v>145</v>
      </c>
      <c r="D137" s="7" t="s">
        <v>731</v>
      </c>
      <c r="E137" s="7" t="s">
        <v>207</v>
      </c>
      <c r="F137" s="7" t="s">
        <v>209</v>
      </c>
      <c r="G137" s="7"/>
      <c r="N137" s="7" t="s">
        <v>159</v>
      </c>
      <c r="O137" s="7" t="s">
        <v>144</v>
      </c>
      <c r="P137" s="7" t="s">
        <v>145</v>
      </c>
      <c r="Q137" s="7" t="s">
        <v>731</v>
      </c>
      <c r="R137" s="7" t="s">
        <v>207</v>
      </c>
      <c r="S137" s="7" t="s">
        <v>209</v>
      </c>
      <c r="AA137" s="7" t="s">
        <v>159</v>
      </c>
      <c r="AB137" s="7" t="s">
        <v>144</v>
      </c>
      <c r="AC137" s="7" t="s">
        <v>145</v>
      </c>
      <c r="AD137" s="7" t="s">
        <v>731</v>
      </c>
      <c r="AE137" s="7" t="s">
        <v>207</v>
      </c>
      <c r="AF137" s="7" t="s">
        <v>209</v>
      </c>
      <c r="AN137" s="7" t="s">
        <v>159</v>
      </c>
      <c r="AO137" s="7" t="s">
        <v>144</v>
      </c>
      <c r="AP137" s="7" t="s">
        <v>145</v>
      </c>
      <c r="AQ137" s="7" t="s">
        <v>731</v>
      </c>
      <c r="AR137" s="7" t="s">
        <v>207</v>
      </c>
      <c r="AS137" s="7" t="s">
        <v>209</v>
      </c>
      <c r="BA137" s="7" t="s">
        <v>159</v>
      </c>
      <c r="BB137" s="7" t="s">
        <v>144</v>
      </c>
      <c r="BC137" s="7" t="s">
        <v>145</v>
      </c>
      <c r="BD137" s="7" t="s">
        <v>731</v>
      </c>
      <c r="BE137" s="7" t="s">
        <v>207</v>
      </c>
      <c r="BF137" s="7" t="s">
        <v>209</v>
      </c>
      <c r="BN137" s="7" t="s">
        <v>159</v>
      </c>
      <c r="BO137" s="7" t="s">
        <v>144</v>
      </c>
      <c r="BP137" s="7" t="s">
        <v>145</v>
      </c>
      <c r="BQ137" s="7" t="s">
        <v>731</v>
      </c>
      <c r="BR137" s="7" t="s">
        <v>207</v>
      </c>
      <c r="BS137" s="7" t="s">
        <v>209</v>
      </c>
    </row>
    <row r="138" spans="1:71" ht="12.75">
      <c r="A138">
        <v>2009</v>
      </c>
      <c r="B138" s="10">
        <f>'Summary Sheet'!$B$40*'Summary Sheet'!$B$6</f>
        <v>0</v>
      </c>
      <c r="C138" s="10" t="e">
        <f>'Summary Sheet'!$B$44*'Summary Sheet'!$B$6</f>
        <v>#DIV/0!</v>
      </c>
      <c r="D138" s="140">
        <f>'E- &amp; NG Prices'!B31</f>
        <v>0.15355715</v>
      </c>
      <c r="E138" s="10" t="e">
        <f>D138*('Summary Sheet'!$B$11-'Summary Sheet'!$B$12)*1000*'Summary Sheet'!$B$6</f>
        <v>#DIV/0!</v>
      </c>
      <c r="F138" s="10" t="e">
        <f>E138+C138+B138</f>
        <v>#DIV/0!</v>
      </c>
      <c r="N138">
        <v>2009</v>
      </c>
      <c r="O138" s="10">
        <f>'Summary Sheet'!$C$40*'Summary Sheet'!$C$6</f>
        <v>0</v>
      </c>
      <c r="P138">
        <v>0</v>
      </c>
      <c r="Q138" s="140">
        <f>'E- &amp; NG Prices'!J31</f>
        <v>0.15355715</v>
      </c>
      <c r="R138" s="10">
        <v>0</v>
      </c>
      <c r="S138" s="10">
        <v>0</v>
      </c>
      <c r="AA138">
        <v>2009</v>
      </c>
      <c r="AB138" s="10">
        <f>'Summary Sheet'!$D$40*'Summary Sheet'!$D$6</f>
        <v>0</v>
      </c>
      <c r="AC138" s="10" t="e">
        <f>'Summary Sheet'!$D$44*'Summary Sheet'!$D$6</f>
        <v>#DIV/0!</v>
      </c>
      <c r="AD138" s="140">
        <f>'E- &amp; NG Prices'!R31</f>
        <v>0.15355715</v>
      </c>
      <c r="AE138" s="10" t="e">
        <f>AD138*('Summary Sheet'!$D$11-'Summary Sheet'!$D$12)*1000*'Summary Sheet'!$D$6</f>
        <v>#DIV/0!</v>
      </c>
      <c r="AF138" s="10" t="e">
        <f>AE138+AC138+AB138</f>
        <v>#DIV/0!</v>
      </c>
      <c r="AN138">
        <v>2009</v>
      </c>
      <c r="AO138" s="10">
        <f>'Summary Sheet'!$E$40*'Summary Sheet'!$E$6</f>
        <v>0</v>
      </c>
      <c r="AP138" s="10" t="e">
        <f>'Summary Sheet'!$E$44*'Summary Sheet'!$E$6</f>
        <v>#DIV/0!</v>
      </c>
      <c r="AQ138" s="140">
        <f>'E- &amp; NG Prices'!AA31</f>
        <v>0.15355715</v>
      </c>
      <c r="AR138" s="10" t="e">
        <f>AQ138*('Summary Sheet'!$E$11-'Summary Sheet'!$E$12)*1000*'Summary Sheet'!$E$6</f>
        <v>#DIV/0!</v>
      </c>
      <c r="AS138" s="10" t="e">
        <f>AR138+AP138+AO138</f>
        <v>#DIV/0!</v>
      </c>
      <c r="BA138">
        <v>2009</v>
      </c>
      <c r="BB138" s="10">
        <f>'Summary Sheet'!$F$40*'Summary Sheet'!$F$6</f>
        <v>0</v>
      </c>
      <c r="BC138" s="10" t="e">
        <f>'Summary Sheet'!$F$44*'Summary Sheet'!$F$6</f>
        <v>#DIV/0!</v>
      </c>
      <c r="BD138" s="140">
        <f>'E- &amp; NG Prices'!B31</f>
        <v>0.15355715</v>
      </c>
      <c r="BE138" s="10" t="e">
        <f>BD138*('Summary Sheet'!$F$11-'Summary Sheet'!$F$12)*1000*'Summary Sheet'!$F$6</f>
        <v>#DIV/0!</v>
      </c>
      <c r="BF138" s="10" t="e">
        <f>BE138+BC138+BB138</f>
        <v>#DIV/0!</v>
      </c>
      <c r="BN138">
        <v>2009</v>
      </c>
      <c r="BO138" s="10">
        <f>'Summary Sheet'!$G$40*'Summary Sheet'!$G$6</f>
        <v>0</v>
      </c>
      <c r="BP138" s="10" t="e">
        <f>'Summary Sheet'!$G$44*'Summary Sheet'!$G$6</f>
        <v>#DIV/0!</v>
      </c>
      <c r="BQ138" s="140">
        <f>'E- &amp; NG Prices'!B31</f>
        <v>0.15355715</v>
      </c>
      <c r="BR138" s="10" t="e">
        <f>BQ138*('Summary Sheet'!$G$11-'Summary Sheet'!$G$12)*1000*'Summary Sheet'!$G$6</f>
        <v>#DIV/0!</v>
      </c>
      <c r="BS138" s="10" t="e">
        <f>BR138+BP138+BO138</f>
        <v>#DIV/0!</v>
      </c>
    </row>
    <row r="139" spans="1:71" ht="12.75">
      <c r="A139">
        <v>2010</v>
      </c>
      <c r="B139" s="10">
        <v>0</v>
      </c>
      <c r="C139" s="10"/>
      <c r="D139" s="140">
        <f>'E- &amp; NG Prices'!B32</f>
        <v>0.1583844</v>
      </c>
      <c r="E139" s="10" t="e">
        <f>D139*('Summary Sheet'!$B$11-'Summary Sheet'!$B$12)*1000*'Summary Sheet'!$B$6</f>
        <v>#DIV/0!</v>
      </c>
      <c r="F139" s="10" t="e">
        <f aca="true" t="shared" si="24" ref="F139:F154">E139+C139+B139</f>
        <v>#DIV/0!</v>
      </c>
      <c r="N139">
        <v>2010</v>
      </c>
      <c r="O139" s="10">
        <v>0</v>
      </c>
      <c r="P139" s="10" t="e">
        <f>'Summary Sheet'!$C$44*'Summary Sheet'!$C$6</f>
        <v>#DIV/0!</v>
      </c>
      <c r="Q139" s="140">
        <f>'E- &amp; NG Prices'!J32</f>
        <v>0.1583844</v>
      </c>
      <c r="R139" s="10" t="e">
        <f>Q139*('Summary Sheet'!$C$11-'Summary Sheet'!$C$12)*1000*'Summary Sheet'!$C$6</f>
        <v>#DIV/0!</v>
      </c>
      <c r="S139" s="10" t="e">
        <f>R139+P139+O139</f>
        <v>#DIV/0!</v>
      </c>
      <c r="AA139">
        <v>2010</v>
      </c>
      <c r="AB139" s="10">
        <v>0</v>
      </c>
      <c r="AC139" s="10"/>
      <c r="AD139" s="140">
        <f>'E- &amp; NG Prices'!R32</f>
        <v>0.1583844</v>
      </c>
      <c r="AE139" s="10" t="e">
        <f>AD139*('Summary Sheet'!$D$11-'Summary Sheet'!$D$12)*1000*'Summary Sheet'!$D$6</f>
        <v>#DIV/0!</v>
      </c>
      <c r="AF139" s="10" t="e">
        <f aca="true" t="shared" si="25" ref="AF139:AF154">AE139+AC139+AB139</f>
        <v>#DIV/0!</v>
      </c>
      <c r="AN139">
        <v>2010</v>
      </c>
      <c r="AO139" s="10">
        <v>0</v>
      </c>
      <c r="AP139" s="10"/>
      <c r="AQ139" s="140">
        <f>'E- &amp; NG Prices'!AA32</f>
        <v>0.1583844</v>
      </c>
      <c r="AR139" s="10" t="e">
        <f>AQ139*('Summary Sheet'!$E$11-'Summary Sheet'!$E$12)*1000*'Summary Sheet'!$E$6</f>
        <v>#DIV/0!</v>
      </c>
      <c r="AS139" s="10" t="e">
        <f aca="true" t="shared" si="26" ref="AS139:AS154">AR139+AP139+AO139</f>
        <v>#DIV/0!</v>
      </c>
      <c r="BA139">
        <v>2010</v>
      </c>
      <c r="BB139" s="10">
        <v>0</v>
      </c>
      <c r="BC139" s="10"/>
      <c r="BD139" s="140">
        <f>'E- &amp; NG Prices'!B32</f>
        <v>0.1583844</v>
      </c>
      <c r="BE139" s="10" t="e">
        <f>BD139*('Summary Sheet'!$F$11-'Summary Sheet'!$F$12)*1000*'Summary Sheet'!$F$6</f>
        <v>#DIV/0!</v>
      </c>
      <c r="BF139" s="10" t="e">
        <f aca="true" t="shared" si="27" ref="BF139:BF154">BE139+BC139+BB139</f>
        <v>#DIV/0!</v>
      </c>
      <c r="BN139">
        <v>2010</v>
      </c>
      <c r="BO139" s="10">
        <v>0</v>
      </c>
      <c r="BP139" s="10"/>
      <c r="BQ139" s="140">
        <f>'E- &amp; NG Prices'!B32</f>
        <v>0.1583844</v>
      </c>
      <c r="BR139" s="10" t="e">
        <f>BQ139*('Summary Sheet'!$G$11-'Summary Sheet'!$G$12)*1000*'Summary Sheet'!$G$6</f>
        <v>#DIV/0!</v>
      </c>
      <c r="BS139" s="10" t="e">
        <f aca="true" t="shared" si="28" ref="BS139:BS154">BR139+BP139+BO139</f>
        <v>#DIV/0!</v>
      </c>
    </row>
    <row r="140" spans="1:71" ht="12.75">
      <c r="A140">
        <v>2011</v>
      </c>
      <c r="B140" s="10">
        <v>0</v>
      </c>
      <c r="C140" s="10"/>
      <c r="D140" s="140">
        <f>'E- &amp; NG Prices'!B33</f>
        <v>0.166129525</v>
      </c>
      <c r="E140" s="10" t="e">
        <f>D140*('Summary Sheet'!$B$11-'Summary Sheet'!$B$12)*1000*'Summary Sheet'!$B$6</f>
        <v>#DIV/0!</v>
      </c>
      <c r="F140" s="10" t="e">
        <f t="shared" si="24"/>
        <v>#DIV/0!</v>
      </c>
      <c r="N140">
        <v>2011</v>
      </c>
      <c r="O140" s="10">
        <v>0</v>
      </c>
      <c r="P140" s="10"/>
      <c r="Q140" s="140">
        <f>'E- &amp; NG Prices'!J33</f>
        <v>0.166129525</v>
      </c>
      <c r="R140" s="10" t="e">
        <f>Q140*('Summary Sheet'!$C$11-'Summary Sheet'!$C$12)*1000*'Summary Sheet'!$C$6</f>
        <v>#DIV/0!</v>
      </c>
      <c r="S140" s="10" t="e">
        <f aca="true" t="shared" si="29" ref="S139:S154">R140+P140+O140</f>
        <v>#DIV/0!</v>
      </c>
      <c r="AA140">
        <v>2011</v>
      </c>
      <c r="AB140" s="10">
        <v>0</v>
      </c>
      <c r="AC140" s="10"/>
      <c r="AD140" s="140">
        <f>'E- &amp; NG Prices'!R33</f>
        <v>0.166129525</v>
      </c>
      <c r="AE140" s="10" t="e">
        <f>AD140*('Summary Sheet'!$D$11-'Summary Sheet'!$D$12)*1000*'Summary Sheet'!$D$6</f>
        <v>#DIV/0!</v>
      </c>
      <c r="AF140" s="10" t="e">
        <f t="shared" si="25"/>
        <v>#DIV/0!</v>
      </c>
      <c r="AN140">
        <v>2011</v>
      </c>
      <c r="AO140" s="10">
        <v>0</v>
      </c>
      <c r="AP140" s="10"/>
      <c r="AQ140" s="140">
        <f>'E- &amp; NG Prices'!AA33</f>
        <v>0.166129525</v>
      </c>
      <c r="AR140" s="10" t="e">
        <f>AQ140*('Summary Sheet'!$E$11-'Summary Sheet'!$E$12)*1000*'Summary Sheet'!$E$6</f>
        <v>#DIV/0!</v>
      </c>
      <c r="AS140" s="10" t="e">
        <f t="shared" si="26"/>
        <v>#DIV/0!</v>
      </c>
      <c r="BA140">
        <v>2011</v>
      </c>
      <c r="BB140" s="10">
        <v>0</v>
      </c>
      <c r="BC140" s="10"/>
      <c r="BD140" s="140">
        <f>'E- &amp; NG Prices'!B33</f>
        <v>0.166129525</v>
      </c>
      <c r="BE140" s="10" t="e">
        <f>BD140*('Summary Sheet'!$F$11-'Summary Sheet'!$F$12)*1000*'Summary Sheet'!$F$6</f>
        <v>#DIV/0!</v>
      </c>
      <c r="BF140" s="10" t="e">
        <f t="shared" si="27"/>
        <v>#DIV/0!</v>
      </c>
      <c r="BN140">
        <v>2011</v>
      </c>
      <c r="BO140" s="10">
        <v>0</v>
      </c>
      <c r="BP140" s="10"/>
      <c r="BQ140" s="140">
        <f>'E- &amp; NG Prices'!B33</f>
        <v>0.166129525</v>
      </c>
      <c r="BR140" s="10" t="e">
        <f>BQ140*('Summary Sheet'!$G$11-'Summary Sheet'!$G$12)*1000*'Summary Sheet'!$G$6</f>
        <v>#DIV/0!</v>
      </c>
      <c r="BS140" s="10" t="e">
        <f t="shared" si="28"/>
        <v>#DIV/0!</v>
      </c>
    </row>
    <row r="141" spans="1:71" ht="12.75">
      <c r="A141">
        <v>2012</v>
      </c>
      <c r="B141" s="10">
        <v>0</v>
      </c>
      <c r="C141" s="10"/>
      <c r="D141" s="140">
        <f>'E- &amp; NG Prices'!B34</f>
        <v>0.175497725</v>
      </c>
      <c r="E141" s="10" t="e">
        <f>D141*('Summary Sheet'!$B$11-'Summary Sheet'!$B$12)*1000*'Summary Sheet'!$B$6</f>
        <v>#DIV/0!</v>
      </c>
      <c r="F141" s="10" t="e">
        <f t="shared" si="24"/>
        <v>#DIV/0!</v>
      </c>
      <c r="N141">
        <v>2012</v>
      </c>
      <c r="O141" s="10">
        <v>0</v>
      </c>
      <c r="P141" s="10"/>
      <c r="Q141" s="140">
        <f>'E- &amp; NG Prices'!J34</f>
        <v>0.175497725</v>
      </c>
      <c r="R141" s="10" t="e">
        <f>Q141*('Summary Sheet'!$C$11-'Summary Sheet'!$C$12)*1000*'Summary Sheet'!$C$6</f>
        <v>#DIV/0!</v>
      </c>
      <c r="S141" s="10" t="e">
        <f t="shared" si="29"/>
        <v>#DIV/0!</v>
      </c>
      <c r="AA141">
        <v>2012</v>
      </c>
      <c r="AB141" s="10">
        <v>0</v>
      </c>
      <c r="AC141" s="10"/>
      <c r="AD141" s="140">
        <f>'E- &amp; NG Prices'!R34</f>
        <v>0.175497725</v>
      </c>
      <c r="AE141" s="10" t="e">
        <f>AD141*('Summary Sheet'!$D$11-'Summary Sheet'!$D$12)*1000*'Summary Sheet'!$D$6</f>
        <v>#DIV/0!</v>
      </c>
      <c r="AF141" s="10" t="e">
        <f t="shared" si="25"/>
        <v>#DIV/0!</v>
      </c>
      <c r="AN141">
        <v>2012</v>
      </c>
      <c r="AO141" s="10">
        <v>0</v>
      </c>
      <c r="AP141" s="10"/>
      <c r="AQ141" s="140">
        <f>'E- &amp; NG Prices'!AA34</f>
        <v>0.175497725</v>
      </c>
      <c r="AR141" s="10" t="e">
        <f>AQ141*('Summary Sheet'!$E$11-'Summary Sheet'!$E$12)*1000*'Summary Sheet'!$E$6</f>
        <v>#DIV/0!</v>
      </c>
      <c r="AS141" s="10" t="e">
        <f t="shared" si="26"/>
        <v>#DIV/0!</v>
      </c>
      <c r="BA141">
        <v>2012</v>
      </c>
      <c r="BB141" s="10">
        <v>0</v>
      </c>
      <c r="BC141" s="10"/>
      <c r="BD141" s="140">
        <f>'E- &amp; NG Prices'!B34</f>
        <v>0.175497725</v>
      </c>
      <c r="BE141" s="10" t="e">
        <f>BD141*('Summary Sheet'!$F$11-'Summary Sheet'!$F$12)*1000*'Summary Sheet'!$F$6</f>
        <v>#DIV/0!</v>
      </c>
      <c r="BF141" s="10" t="e">
        <f t="shared" si="27"/>
        <v>#DIV/0!</v>
      </c>
      <c r="BN141">
        <v>2012</v>
      </c>
      <c r="BO141" s="10">
        <v>0</v>
      </c>
      <c r="BP141" s="10"/>
      <c r="BQ141" s="140">
        <f>'E- &amp; NG Prices'!B34</f>
        <v>0.175497725</v>
      </c>
      <c r="BR141" s="10" t="e">
        <f>BQ141*('Summary Sheet'!$G$11-'Summary Sheet'!$G$12)*1000*'Summary Sheet'!$G$6</f>
        <v>#DIV/0!</v>
      </c>
      <c r="BS141" s="10" t="e">
        <f t="shared" si="28"/>
        <v>#DIV/0!</v>
      </c>
    </row>
    <row r="142" spans="1:71" ht="12.75">
      <c r="A142">
        <v>2013</v>
      </c>
      <c r="B142" s="10">
        <v>0</v>
      </c>
      <c r="C142" s="10"/>
      <c r="D142" s="140">
        <f>'E- &amp; NG Prices'!B35</f>
        <v>0.18563022499999998</v>
      </c>
      <c r="E142" s="10" t="e">
        <f>D142*('Summary Sheet'!$B$11-'Summary Sheet'!$B$12)*1000*'Summary Sheet'!$B$6</f>
        <v>#DIV/0!</v>
      </c>
      <c r="F142" s="10" t="e">
        <f t="shared" si="24"/>
        <v>#DIV/0!</v>
      </c>
      <c r="N142">
        <v>2013</v>
      </c>
      <c r="O142" s="10">
        <v>0</v>
      </c>
      <c r="P142" s="10"/>
      <c r="Q142" s="140">
        <f>'E- &amp; NG Prices'!J35</f>
        <v>0.18563022499999998</v>
      </c>
      <c r="R142" s="10" t="e">
        <f>Q142*('Summary Sheet'!$C$11-'Summary Sheet'!$C$12)*1000*'Summary Sheet'!$C$6</f>
        <v>#DIV/0!</v>
      </c>
      <c r="S142" s="10" t="e">
        <f t="shared" si="29"/>
        <v>#DIV/0!</v>
      </c>
      <c r="AA142">
        <v>2013</v>
      </c>
      <c r="AB142" s="10">
        <v>0</v>
      </c>
      <c r="AC142" s="10"/>
      <c r="AD142" s="140">
        <f>'E- &amp; NG Prices'!R35</f>
        <v>0.18563022499999998</v>
      </c>
      <c r="AE142" s="10" t="e">
        <f>AD142*('Summary Sheet'!$D$11-'Summary Sheet'!$D$12)*1000*'Summary Sheet'!$D$6</f>
        <v>#DIV/0!</v>
      </c>
      <c r="AF142" s="10" t="e">
        <f t="shared" si="25"/>
        <v>#DIV/0!</v>
      </c>
      <c r="AN142">
        <v>2013</v>
      </c>
      <c r="AO142" s="10">
        <v>0</v>
      </c>
      <c r="AP142" s="10"/>
      <c r="AQ142" s="140">
        <f>'E- &amp; NG Prices'!AA35</f>
        <v>0.18563022499999998</v>
      </c>
      <c r="AR142" s="10" t="e">
        <f>AQ142*('Summary Sheet'!$E$11-'Summary Sheet'!$E$12)*1000*'Summary Sheet'!$E$6</f>
        <v>#DIV/0!</v>
      </c>
      <c r="AS142" s="10" t="e">
        <f t="shared" si="26"/>
        <v>#DIV/0!</v>
      </c>
      <c r="BA142">
        <v>2013</v>
      </c>
      <c r="BB142" s="10">
        <v>0</v>
      </c>
      <c r="BC142" s="10"/>
      <c r="BD142" s="140">
        <f>'E- &amp; NG Prices'!B35</f>
        <v>0.18563022499999998</v>
      </c>
      <c r="BE142" s="10" t="e">
        <f>BD142*('Summary Sheet'!$F$11-'Summary Sheet'!$F$12)*1000*'Summary Sheet'!$F$6</f>
        <v>#DIV/0!</v>
      </c>
      <c r="BF142" s="10" t="e">
        <f t="shared" si="27"/>
        <v>#DIV/0!</v>
      </c>
      <c r="BN142">
        <v>2013</v>
      </c>
      <c r="BO142" s="10">
        <v>0</v>
      </c>
      <c r="BP142" s="10"/>
      <c r="BQ142" s="140">
        <f>'E- &amp; NG Prices'!B35</f>
        <v>0.18563022499999998</v>
      </c>
      <c r="BR142" s="10" t="e">
        <f>BQ142*('Summary Sheet'!$G$11-'Summary Sheet'!$G$12)*1000*'Summary Sheet'!$G$6</f>
        <v>#DIV/0!</v>
      </c>
      <c r="BS142" s="10" t="e">
        <f t="shared" si="28"/>
        <v>#DIV/0!</v>
      </c>
    </row>
    <row r="143" spans="1:71" ht="12.75">
      <c r="A143">
        <v>2014</v>
      </c>
      <c r="B143" s="10">
        <v>0</v>
      </c>
      <c r="C143" s="10"/>
      <c r="D143" s="140">
        <f>'E- &amp; NG Prices'!B36</f>
        <v>0.1966196</v>
      </c>
      <c r="E143" s="10" t="e">
        <f>D143*('Summary Sheet'!$B$11-'Summary Sheet'!$B$12)*1000*'Summary Sheet'!$B$6</f>
        <v>#DIV/0!</v>
      </c>
      <c r="F143" s="10" t="e">
        <f t="shared" si="24"/>
        <v>#DIV/0!</v>
      </c>
      <c r="N143">
        <v>2014</v>
      </c>
      <c r="O143" s="10">
        <v>0</v>
      </c>
      <c r="P143" s="10"/>
      <c r="Q143" s="140">
        <f>'E- &amp; NG Prices'!J36</f>
        <v>0.1966196</v>
      </c>
      <c r="R143" s="10" t="e">
        <f>Q143*('Summary Sheet'!$C$11-'Summary Sheet'!$C$12)*1000*'Summary Sheet'!$C$6</f>
        <v>#DIV/0!</v>
      </c>
      <c r="S143" s="10" t="e">
        <f t="shared" si="29"/>
        <v>#DIV/0!</v>
      </c>
      <c r="AA143">
        <v>2014</v>
      </c>
      <c r="AB143" s="10">
        <v>0</v>
      </c>
      <c r="AC143" s="10"/>
      <c r="AD143" s="140">
        <f>'E- &amp; NG Prices'!R36</f>
        <v>0.1966196</v>
      </c>
      <c r="AE143" s="10" t="e">
        <f>AD143*('Summary Sheet'!$D$11-'Summary Sheet'!$D$12)*1000*'Summary Sheet'!$D$6</f>
        <v>#DIV/0!</v>
      </c>
      <c r="AF143" s="10" t="e">
        <f t="shared" si="25"/>
        <v>#DIV/0!</v>
      </c>
      <c r="AN143">
        <v>2014</v>
      </c>
      <c r="AO143" s="10">
        <v>0</v>
      </c>
      <c r="AP143" s="10"/>
      <c r="AQ143" s="140">
        <f>'E- &amp; NG Prices'!AA36</f>
        <v>0.1966196</v>
      </c>
      <c r="AR143" s="10" t="e">
        <f>AQ143*('Summary Sheet'!$E$11-'Summary Sheet'!$E$12)*1000*'Summary Sheet'!$E$6</f>
        <v>#DIV/0!</v>
      </c>
      <c r="AS143" s="10" t="e">
        <f t="shared" si="26"/>
        <v>#DIV/0!</v>
      </c>
      <c r="BA143">
        <v>2014</v>
      </c>
      <c r="BB143" s="10">
        <v>0</v>
      </c>
      <c r="BC143" s="10"/>
      <c r="BD143" s="140">
        <f>'E- &amp; NG Prices'!B36</f>
        <v>0.1966196</v>
      </c>
      <c r="BE143" s="10" t="e">
        <f>BD143*('Summary Sheet'!$F$11-'Summary Sheet'!$F$12)*1000*'Summary Sheet'!$F$6</f>
        <v>#DIV/0!</v>
      </c>
      <c r="BF143" s="10" t="e">
        <f t="shared" si="27"/>
        <v>#DIV/0!</v>
      </c>
      <c r="BN143">
        <v>2014</v>
      </c>
      <c r="BO143" s="10">
        <v>0</v>
      </c>
      <c r="BP143" s="10"/>
      <c r="BQ143" s="140">
        <f>'E- &amp; NG Prices'!B36</f>
        <v>0.1966196</v>
      </c>
      <c r="BR143" s="10" t="e">
        <f>BQ143*('Summary Sheet'!$G$11-'Summary Sheet'!$G$12)*1000*'Summary Sheet'!$G$6</f>
        <v>#DIV/0!</v>
      </c>
      <c r="BS143" s="10" t="e">
        <f t="shared" si="28"/>
        <v>#DIV/0!</v>
      </c>
    </row>
    <row r="144" spans="1:71" ht="12.75">
      <c r="A144">
        <v>2015</v>
      </c>
      <c r="B144" s="10">
        <v>0</v>
      </c>
      <c r="C144" s="10"/>
      <c r="D144" s="140">
        <f>'E- &amp; NG Prices'!B37</f>
        <v>0.20702030000000002</v>
      </c>
      <c r="E144" s="10" t="e">
        <f>D144*('Summary Sheet'!$B$11-'Summary Sheet'!$B$12)*1000*'Summary Sheet'!$B$6</f>
        <v>#DIV/0!</v>
      </c>
      <c r="F144" s="10" t="e">
        <f t="shared" si="24"/>
        <v>#DIV/0!</v>
      </c>
      <c r="N144">
        <v>2015</v>
      </c>
      <c r="O144" s="10">
        <v>0</v>
      </c>
      <c r="P144" s="10"/>
      <c r="Q144" s="140">
        <f>'E- &amp; NG Prices'!J37</f>
        <v>0.20702030000000002</v>
      </c>
      <c r="R144" s="10" t="e">
        <f>Q144*('Summary Sheet'!$C$11-'Summary Sheet'!$C$12)*1000*'Summary Sheet'!$C$6</f>
        <v>#DIV/0!</v>
      </c>
      <c r="S144" s="10" t="e">
        <f t="shared" si="29"/>
        <v>#DIV/0!</v>
      </c>
      <c r="AA144">
        <v>2015</v>
      </c>
      <c r="AB144" s="10">
        <v>0</v>
      </c>
      <c r="AC144" s="10"/>
      <c r="AD144" s="140">
        <f>'E- &amp; NG Prices'!R37</f>
        <v>0.20702030000000002</v>
      </c>
      <c r="AE144" s="10" t="e">
        <f>AD144*('Summary Sheet'!$D$11-'Summary Sheet'!$D$12)*1000*'Summary Sheet'!$D$6</f>
        <v>#DIV/0!</v>
      </c>
      <c r="AF144" s="10" t="e">
        <f t="shared" si="25"/>
        <v>#DIV/0!</v>
      </c>
      <c r="AN144">
        <v>2015</v>
      </c>
      <c r="AO144" s="10">
        <v>0</v>
      </c>
      <c r="AP144" s="10"/>
      <c r="AQ144" s="140">
        <f>'E- &amp; NG Prices'!AA37</f>
        <v>0.20702030000000002</v>
      </c>
      <c r="AR144" s="10" t="e">
        <f>AQ144*('Summary Sheet'!$E$11-'Summary Sheet'!$E$12)*1000*'Summary Sheet'!$E$6</f>
        <v>#DIV/0!</v>
      </c>
      <c r="AS144" s="10" t="e">
        <f t="shared" si="26"/>
        <v>#DIV/0!</v>
      </c>
      <c r="BA144">
        <v>2015</v>
      </c>
      <c r="BB144" s="10">
        <v>0</v>
      </c>
      <c r="BC144" s="10"/>
      <c r="BD144" s="140">
        <f>'E- &amp; NG Prices'!B37</f>
        <v>0.20702030000000002</v>
      </c>
      <c r="BE144" s="10" t="e">
        <f>BD144*('Summary Sheet'!$F$11-'Summary Sheet'!$F$12)*1000*'Summary Sheet'!$F$6</f>
        <v>#DIV/0!</v>
      </c>
      <c r="BF144" s="10" t="e">
        <f t="shared" si="27"/>
        <v>#DIV/0!</v>
      </c>
      <c r="BN144">
        <v>2015</v>
      </c>
      <c r="BO144" s="10">
        <v>0</v>
      </c>
      <c r="BP144" s="10"/>
      <c r="BQ144" s="140">
        <f>'E- &amp; NG Prices'!B37</f>
        <v>0.20702030000000002</v>
      </c>
      <c r="BR144" s="10" t="e">
        <f>BQ144*('Summary Sheet'!$G$11-'Summary Sheet'!$G$12)*1000*'Summary Sheet'!$G$6</f>
        <v>#DIV/0!</v>
      </c>
      <c r="BS144" s="10" t="e">
        <f t="shared" si="28"/>
        <v>#DIV/0!</v>
      </c>
    </row>
    <row r="145" spans="1:71" ht="12.75">
      <c r="A145">
        <v>2016</v>
      </c>
      <c r="B145" s="10">
        <v>0</v>
      </c>
      <c r="C145" s="10"/>
      <c r="D145" s="140">
        <f>'E- &amp; NG Prices'!B38</f>
        <v>0.216850475</v>
      </c>
      <c r="E145" s="10" t="e">
        <f>D145*('Summary Sheet'!$B$11-'Summary Sheet'!$B$12)*1000*'Summary Sheet'!$B$6</f>
        <v>#DIV/0!</v>
      </c>
      <c r="F145" s="10" t="e">
        <f t="shared" si="24"/>
        <v>#DIV/0!</v>
      </c>
      <c r="N145">
        <v>2016</v>
      </c>
      <c r="O145" s="10">
        <v>0</v>
      </c>
      <c r="P145" s="10"/>
      <c r="Q145" s="140">
        <f>'E- &amp; NG Prices'!J38</f>
        <v>0.216850475</v>
      </c>
      <c r="R145" s="10" t="e">
        <f>Q145*('Summary Sheet'!$C$11-'Summary Sheet'!$C$12)*1000*'Summary Sheet'!$C$6</f>
        <v>#DIV/0!</v>
      </c>
      <c r="S145" s="10" t="e">
        <f t="shared" si="29"/>
        <v>#DIV/0!</v>
      </c>
      <c r="AA145">
        <v>2016</v>
      </c>
      <c r="AB145" s="10">
        <v>0</v>
      </c>
      <c r="AC145" s="10"/>
      <c r="AD145" s="140">
        <f>'E- &amp; NG Prices'!R38</f>
        <v>0.216850475</v>
      </c>
      <c r="AE145" s="10" t="e">
        <f>AD145*('Summary Sheet'!$D$11-'Summary Sheet'!$D$12)*1000*'Summary Sheet'!$D$6</f>
        <v>#DIV/0!</v>
      </c>
      <c r="AF145" s="10" t="e">
        <f t="shared" si="25"/>
        <v>#DIV/0!</v>
      </c>
      <c r="AN145">
        <v>2016</v>
      </c>
      <c r="AO145" s="10">
        <v>0</v>
      </c>
      <c r="AP145" s="10"/>
      <c r="AQ145" s="140">
        <f>'E- &amp; NG Prices'!AA38</f>
        <v>0.216850475</v>
      </c>
      <c r="AR145" s="10" t="e">
        <f>AQ145*('Summary Sheet'!$E$11-'Summary Sheet'!$E$12)*1000*'Summary Sheet'!$E$6</f>
        <v>#DIV/0!</v>
      </c>
      <c r="AS145" s="10" t="e">
        <f t="shared" si="26"/>
        <v>#DIV/0!</v>
      </c>
      <c r="BA145">
        <v>2016</v>
      </c>
      <c r="BB145" s="10">
        <v>0</v>
      </c>
      <c r="BC145" s="10"/>
      <c r="BD145" s="140">
        <f>'E- &amp; NG Prices'!B38</f>
        <v>0.216850475</v>
      </c>
      <c r="BE145" s="10" t="e">
        <f>BD145*('Summary Sheet'!$F$11-'Summary Sheet'!$F$12)*1000*'Summary Sheet'!$F$6</f>
        <v>#DIV/0!</v>
      </c>
      <c r="BF145" s="10" t="e">
        <f t="shared" si="27"/>
        <v>#DIV/0!</v>
      </c>
      <c r="BN145">
        <v>2016</v>
      </c>
      <c r="BO145" s="10">
        <v>0</v>
      </c>
      <c r="BP145" s="10"/>
      <c r="BQ145" s="140">
        <f>'E- &amp; NG Prices'!B38</f>
        <v>0.216850475</v>
      </c>
      <c r="BR145" s="10" t="e">
        <f>BQ145*('Summary Sheet'!$G$11-'Summary Sheet'!$G$12)*1000*'Summary Sheet'!$G$6</f>
        <v>#DIV/0!</v>
      </c>
      <c r="BS145" s="10" t="e">
        <f t="shared" si="28"/>
        <v>#DIV/0!</v>
      </c>
    </row>
    <row r="146" spans="1:71" ht="12.75">
      <c r="A146">
        <v>2017</v>
      </c>
      <c r="B146" s="10">
        <v>0</v>
      </c>
      <c r="C146" s="10"/>
      <c r="D146" s="140">
        <f>'E- &amp; NG Prices'!B39</f>
        <v>0.227349825</v>
      </c>
      <c r="E146" s="10" t="e">
        <f>D146*('Summary Sheet'!$B$11-'Summary Sheet'!$B$12)*1000*'Summary Sheet'!$B$6</f>
        <v>#DIV/0!</v>
      </c>
      <c r="F146" s="10" t="e">
        <f t="shared" si="24"/>
        <v>#DIV/0!</v>
      </c>
      <c r="N146">
        <v>2017</v>
      </c>
      <c r="O146" s="10">
        <v>0</v>
      </c>
      <c r="P146" s="10"/>
      <c r="Q146" s="140">
        <f>'E- &amp; NG Prices'!J39</f>
        <v>0.227349825</v>
      </c>
      <c r="R146" s="10" t="e">
        <f>Q146*('Summary Sheet'!$C$11-'Summary Sheet'!$C$12)*1000*'Summary Sheet'!$C$6</f>
        <v>#DIV/0!</v>
      </c>
      <c r="S146" s="10" t="e">
        <f t="shared" si="29"/>
        <v>#DIV/0!</v>
      </c>
      <c r="AA146">
        <v>2017</v>
      </c>
      <c r="AB146" s="10">
        <v>0</v>
      </c>
      <c r="AC146" s="10"/>
      <c r="AD146" s="140">
        <f>'E- &amp; NG Prices'!R39</f>
        <v>0.227349825</v>
      </c>
      <c r="AE146" s="10" t="e">
        <f>AD146*('Summary Sheet'!$D$11-'Summary Sheet'!$D$12)*1000*'Summary Sheet'!$D$6</f>
        <v>#DIV/0!</v>
      </c>
      <c r="AF146" s="10" t="e">
        <f t="shared" si="25"/>
        <v>#DIV/0!</v>
      </c>
      <c r="AN146">
        <v>2017</v>
      </c>
      <c r="AO146" s="10">
        <v>0</v>
      </c>
      <c r="AP146" s="10"/>
      <c r="AQ146" s="140">
        <f>'E- &amp; NG Prices'!AA39</f>
        <v>0.227349825</v>
      </c>
      <c r="AR146" s="10" t="e">
        <f>AQ146*('Summary Sheet'!$E$11-'Summary Sheet'!$E$12)*1000*'Summary Sheet'!$E$6</f>
        <v>#DIV/0!</v>
      </c>
      <c r="AS146" s="10" t="e">
        <f t="shared" si="26"/>
        <v>#DIV/0!</v>
      </c>
      <c r="BA146">
        <v>2017</v>
      </c>
      <c r="BB146" s="10">
        <v>0</v>
      </c>
      <c r="BC146" s="10"/>
      <c r="BD146" s="140">
        <f>'E- &amp; NG Prices'!B39</f>
        <v>0.227349825</v>
      </c>
      <c r="BE146" s="10" t="e">
        <f>BD146*('Summary Sheet'!$F$11-'Summary Sheet'!$F$12)*1000*'Summary Sheet'!$F$6</f>
        <v>#DIV/0!</v>
      </c>
      <c r="BF146" s="10" t="e">
        <f t="shared" si="27"/>
        <v>#DIV/0!</v>
      </c>
      <c r="BN146">
        <v>2017</v>
      </c>
      <c r="BO146" s="10">
        <v>0</v>
      </c>
      <c r="BP146" s="10"/>
      <c r="BQ146" s="140">
        <f>'E- &amp; NG Prices'!B39</f>
        <v>0.227349825</v>
      </c>
      <c r="BR146" s="10" t="e">
        <f>BQ146*('Summary Sheet'!$G$11-'Summary Sheet'!$G$12)*1000*'Summary Sheet'!$G$6</f>
        <v>#DIV/0!</v>
      </c>
      <c r="BS146" s="10" t="e">
        <f t="shared" si="28"/>
        <v>#DIV/0!</v>
      </c>
    </row>
    <row r="147" spans="1:71" ht="12.75">
      <c r="A147">
        <v>2018</v>
      </c>
      <c r="B147" s="10">
        <v>0</v>
      </c>
      <c r="C147" s="10"/>
      <c r="D147" s="140">
        <f>'E- &amp; NG Prices'!B40</f>
        <v>0.238965125</v>
      </c>
      <c r="E147" s="10" t="e">
        <f>D147*('Summary Sheet'!$B$11-'Summary Sheet'!$B$12)*1000*'Summary Sheet'!$B$6</f>
        <v>#DIV/0!</v>
      </c>
      <c r="F147" s="10" t="e">
        <f t="shared" si="24"/>
        <v>#DIV/0!</v>
      </c>
      <c r="N147">
        <v>2018</v>
      </c>
      <c r="O147" s="10">
        <v>0</v>
      </c>
      <c r="P147" s="10"/>
      <c r="Q147" s="140">
        <f>'E- &amp; NG Prices'!J40</f>
        <v>0.238965125</v>
      </c>
      <c r="R147" s="10" t="e">
        <f>Q147*('Summary Sheet'!$C$11-'Summary Sheet'!$C$12)*1000*'Summary Sheet'!$C$6</f>
        <v>#DIV/0!</v>
      </c>
      <c r="S147" s="10" t="e">
        <f t="shared" si="29"/>
        <v>#DIV/0!</v>
      </c>
      <c r="AA147">
        <v>2018</v>
      </c>
      <c r="AB147" s="10">
        <v>0</v>
      </c>
      <c r="AC147" s="10"/>
      <c r="AD147" s="140">
        <f>'E- &amp; NG Prices'!R40</f>
        <v>0.238965125</v>
      </c>
      <c r="AE147" s="10" t="e">
        <f>AD147*('Summary Sheet'!$D$11-'Summary Sheet'!$D$12)*1000*'Summary Sheet'!$D$6</f>
        <v>#DIV/0!</v>
      </c>
      <c r="AF147" s="10" t="e">
        <f t="shared" si="25"/>
        <v>#DIV/0!</v>
      </c>
      <c r="AN147">
        <v>2018</v>
      </c>
      <c r="AO147" s="10">
        <v>0</v>
      </c>
      <c r="AP147" s="10"/>
      <c r="AQ147" s="140">
        <f>'E- &amp; NG Prices'!AA40</f>
        <v>0.238965125</v>
      </c>
      <c r="AR147" s="10" t="e">
        <f>AQ147*('Summary Sheet'!$E$11-'Summary Sheet'!$E$12)*1000*'Summary Sheet'!$E$6</f>
        <v>#DIV/0!</v>
      </c>
      <c r="AS147" s="10" t="e">
        <f t="shared" si="26"/>
        <v>#DIV/0!</v>
      </c>
      <c r="BA147">
        <v>2018</v>
      </c>
      <c r="BB147" s="10">
        <v>0</v>
      </c>
      <c r="BC147" s="10"/>
      <c r="BD147" s="140">
        <f>'E- &amp; NG Prices'!B40</f>
        <v>0.238965125</v>
      </c>
      <c r="BE147" s="10" t="e">
        <f>BD147*('Summary Sheet'!$F$11-'Summary Sheet'!$F$12)*1000*'Summary Sheet'!$F$6</f>
        <v>#DIV/0!</v>
      </c>
      <c r="BF147" s="10" t="e">
        <f t="shared" si="27"/>
        <v>#DIV/0!</v>
      </c>
      <c r="BN147">
        <v>2018</v>
      </c>
      <c r="BO147" s="10">
        <v>0</v>
      </c>
      <c r="BP147" s="10"/>
      <c r="BQ147" s="140">
        <f>'E- &amp; NG Prices'!B40</f>
        <v>0.238965125</v>
      </c>
      <c r="BR147" s="10" t="e">
        <f>BQ147*('Summary Sheet'!$G$11-'Summary Sheet'!$G$12)*1000*'Summary Sheet'!$G$6</f>
        <v>#DIV/0!</v>
      </c>
      <c r="BS147" s="10" t="e">
        <f t="shared" si="28"/>
        <v>#DIV/0!</v>
      </c>
    </row>
    <row r="148" spans="1:71" ht="12.75">
      <c r="A148">
        <v>2019</v>
      </c>
      <c r="B148" s="10">
        <v>0</v>
      </c>
      <c r="C148" s="10"/>
      <c r="D148" s="140">
        <f>'E- &amp; NG Prices'!B41</f>
        <v>0.25100772492104156</v>
      </c>
      <c r="E148" s="10" t="e">
        <f>D148*('Summary Sheet'!$B$11-'Summary Sheet'!$B$12)*1000*'Summary Sheet'!$B$6</f>
        <v>#DIV/0!</v>
      </c>
      <c r="F148" s="10" t="e">
        <f t="shared" si="24"/>
        <v>#DIV/0!</v>
      </c>
      <c r="N148">
        <v>2019</v>
      </c>
      <c r="O148" s="10">
        <v>0</v>
      </c>
      <c r="P148" s="10"/>
      <c r="Q148" s="140">
        <f>'E- &amp; NG Prices'!J41</f>
        <v>0.25100772492104156</v>
      </c>
      <c r="R148" s="10" t="e">
        <f>Q148*('Summary Sheet'!$C$11-'Summary Sheet'!$C$12)*1000*'Summary Sheet'!$C$6</f>
        <v>#DIV/0!</v>
      </c>
      <c r="S148" s="10" t="e">
        <f t="shared" si="29"/>
        <v>#DIV/0!</v>
      </c>
      <c r="AA148">
        <v>2019</v>
      </c>
      <c r="AB148" s="10">
        <v>0</v>
      </c>
      <c r="AC148" s="10"/>
      <c r="AD148" s="140">
        <f>'E- &amp; NG Prices'!R41</f>
        <v>0.25100772492104156</v>
      </c>
      <c r="AE148" s="10" t="e">
        <f>AD148*('Summary Sheet'!$D$11-'Summary Sheet'!$D$12)*1000*'Summary Sheet'!$D$6</f>
        <v>#DIV/0!</v>
      </c>
      <c r="AF148" s="10" t="e">
        <f t="shared" si="25"/>
        <v>#DIV/0!</v>
      </c>
      <c r="AN148">
        <v>2019</v>
      </c>
      <c r="AO148" s="10">
        <v>0</v>
      </c>
      <c r="AP148" s="10"/>
      <c r="AQ148" s="140">
        <f>'E- &amp; NG Prices'!AA41</f>
        <v>0.25100772492104156</v>
      </c>
      <c r="AR148" s="10" t="e">
        <f>AQ148*('Summary Sheet'!$E$11-'Summary Sheet'!$E$12)*1000*'Summary Sheet'!$E$6</f>
        <v>#DIV/0!</v>
      </c>
      <c r="AS148" s="10" t="e">
        <f t="shared" si="26"/>
        <v>#DIV/0!</v>
      </c>
      <c r="BA148">
        <v>2019</v>
      </c>
      <c r="BB148" s="10">
        <v>0</v>
      </c>
      <c r="BC148" s="10"/>
      <c r="BD148" s="140">
        <f>'E- &amp; NG Prices'!B41</f>
        <v>0.25100772492104156</v>
      </c>
      <c r="BE148" s="10" t="e">
        <f>BD148*('Summary Sheet'!$F$11-'Summary Sheet'!$F$12)*1000*'Summary Sheet'!$F$6</f>
        <v>#DIV/0!</v>
      </c>
      <c r="BF148" s="10" t="e">
        <f t="shared" si="27"/>
        <v>#DIV/0!</v>
      </c>
      <c r="BN148">
        <v>2019</v>
      </c>
      <c r="BO148" s="10">
        <v>0</v>
      </c>
      <c r="BP148" s="10"/>
      <c r="BQ148" s="140">
        <f>'E- &amp; NG Prices'!B41</f>
        <v>0.25100772492104156</v>
      </c>
      <c r="BR148" s="10" t="e">
        <f>BQ148*('Summary Sheet'!$G$11-'Summary Sheet'!$G$12)*1000*'Summary Sheet'!$G$6</f>
        <v>#DIV/0!</v>
      </c>
      <c r="BS148" s="10" t="e">
        <f t="shared" si="28"/>
        <v>#DIV/0!</v>
      </c>
    </row>
    <row r="149" spans="1:71" ht="12.75">
      <c r="A149">
        <v>2020</v>
      </c>
      <c r="B149" s="10">
        <v>0</v>
      </c>
      <c r="C149" s="10"/>
      <c r="D149" s="140">
        <f>'E- &amp; NG Prices'!B42</f>
        <v>0.26365720926866326</v>
      </c>
      <c r="E149" s="10" t="e">
        <f>D149*('Summary Sheet'!$B$11-'Summary Sheet'!$B$12)*1000*'Summary Sheet'!$B$6</f>
        <v>#DIV/0!</v>
      </c>
      <c r="F149" s="10" t="e">
        <f t="shared" si="24"/>
        <v>#DIV/0!</v>
      </c>
      <c r="N149">
        <v>2020</v>
      </c>
      <c r="O149" s="10">
        <v>0</v>
      </c>
      <c r="P149" s="10"/>
      <c r="Q149" s="140">
        <f>'E- &amp; NG Prices'!J42</f>
        <v>0.26365720926866326</v>
      </c>
      <c r="R149" s="10" t="e">
        <f>Q149*('Summary Sheet'!$C$11-'Summary Sheet'!$C$12)*1000*'Summary Sheet'!$C$6</f>
        <v>#DIV/0!</v>
      </c>
      <c r="S149" s="10" t="e">
        <f t="shared" si="29"/>
        <v>#DIV/0!</v>
      </c>
      <c r="AA149">
        <v>2020</v>
      </c>
      <c r="AB149" s="10">
        <v>0</v>
      </c>
      <c r="AC149" s="10"/>
      <c r="AD149" s="140">
        <f>'E- &amp; NG Prices'!R42</f>
        <v>0.26365720926866326</v>
      </c>
      <c r="AE149" s="10" t="e">
        <f>AD149*('Summary Sheet'!$D$11-'Summary Sheet'!$D$12)*1000*'Summary Sheet'!$D$6</f>
        <v>#DIV/0!</v>
      </c>
      <c r="AF149" s="10" t="e">
        <f t="shared" si="25"/>
        <v>#DIV/0!</v>
      </c>
      <c r="AN149">
        <v>2020</v>
      </c>
      <c r="AO149" s="10">
        <v>0</v>
      </c>
      <c r="AP149" s="10"/>
      <c r="AQ149" s="140">
        <f>'E- &amp; NG Prices'!AA42</f>
        <v>0.26365720926866326</v>
      </c>
      <c r="AR149" s="10" t="e">
        <f>AQ149*('Summary Sheet'!$E$11-'Summary Sheet'!$E$12)*1000*'Summary Sheet'!$E$6</f>
        <v>#DIV/0!</v>
      </c>
      <c r="AS149" s="10" t="e">
        <f t="shared" si="26"/>
        <v>#DIV/0!</v>
      </c>
      <c r="BA149">
        <v>2020</v>
      </c>
      <c r="BB149" s="10">
        <v>0</v>
      </c>
      <c r="BC149" s="10"/>
      <c r="BD149" s="140">
        <f>'E- &amp; NG Prices'!B42</f>
        <v>0.26365720926866326</v>
      </c>
      <c r="BE149" s="10" t="e">
        <f>BD149*('Summary Sheet'!$F$11-'Summary Sheet'!$F$12)*1000*'Summary Sheet'!$F$6</f>
        <v>#DIV/0!</v>
      </c>
      <c r="BF149" s="10" t="e">
        <f t="shared" si="27"/>
        <v>#DIV/0!</v>
      </c>
      <c r="BN149">
        <v>2020</v>
      </c>
      <c r="BO149" s="10">
        <v>0</v>
      </c>
      <c r="BP149" s="10"/>
      <c r="BQ149" s="140">
        <f>'E- &amp; NG Prices'!B42</f>
        <v>0.26365720926866326</v>
      </c>
      <c r="BR149" s="10" t="e">
        <f>BQ149*('Summary Sheet'!$G$11-'Summary Sheet'!$G$12)*1000*'Summary Sheet'!$G$6</f>
        <v>#DIV/0!</v>
      </c>
      <c r="BS149" s="10" t="e">
        <f t="shared" si="28"/>
        <v>#DIV/0!</v>
      </c>
    </row>
    <row r="150" spans="1:71" ht="12.75">
      <c r="A150">
        <v>2021</v>
      </c>
      <c r="B150" s="10">
        <v>0</v>
      </c>
      <c r="C150" s="10"/>
      <c r="D150" s="140">
        <f>'E- &amp; NG Prices'!B43</f>
        <v>0.2769441618627744</v>
      </c>
      <c r="E150" s="10" t="e">
        <f>D150*('Summary Sheet'!$B$11-'Summary Sheet'!$B$12)*1000*'Summary Sheet'!$B$6</f>
        <v>#DIV/0!</v>
      </c>
      <c r="F150" s="10" t="e">
        <f t="shared" si="24"/>
        <v>#DIV/0!</v>
      </c>
      <c r="N150">
        <v>2021</v>
      </c>
      <c r="O150" s="10">
        <v>0</v>
      </c>
      <c r="P150" s="10"/>
      <c r="Q150" s="140">
        <f>'E- &amp; NG Prices'!J43</f>
        <v>0.2769441618627744</v>
      </c>
      <c r="R150" s="10" t="e">
        <f>Q150*('Summary Sheet'!$C$11-'Summary Sheet'!$C$12)*1000*'Summary Sheet'!$C$6</f>
        <v>#DIV/0!</v>
      </c>
      <c r="S150" s="10" t="e">
        <f t="shared" si="29"/>
        <v>#DIV/0!</v>
      </c>
      <c r="AA150">
        <v>2021</v>
      </c>
      <c r="AB150" s="10">
        <v>0</v>
      </c>
      <c r="AC150" s="10"/>
      <c r="AD150" s="140">
        <f>'E- &amp; NG Prices'!R43</f>
        <v>0.2769441618627744</v>
      </c>
      <c r="AE150" s="10" t="e">
        <f>AD150*('Summary Sheet'!$D$11-'Summary Sheet'!$D$12)*1000*'Summary Sheet'!$D$6</f>
        <v>#DIV/0!</v>
      </c>
      <c r="AF150" s="10" t="e">
        <f t="shared" si="25"/>
        <v>#DIV/0!</v>
      </c>
      <c r="AN150">
        <v>2021</v>
      </c>
      <c r="AO150" s="10">
        <v>0</v>
      </c>
      <c r="AP150" s="10"/>
      <c r="AQ150" s="140">
        <f>'E- &amp; NG Prices'!AA43</f>
        <v>0.2769441618627744</v>
      </c>
      <c r="AR150" s="10" t="e">
        <f>AQ150*('Summary Sheet'!$E$11-'Summary Sheet'!$E$12)*1000*'Summary Sheet'!$E$6</f>
        <v>#DIV/0!</v>
      </c>
      <c r="AS150" s="10" t="e">
        <f t="shared" si="26"/>
        <v>#DIV/0!</v>
      </c>
      <c r="BA150">
        <v>2021</v>
      </c>
      <c r="BB150" s="10">
        <v>0</v>
      </c>
      <c r="BC150" s="10"/>
      <c r="BD150" s="140">
        <f>'E- &amp; NG Prices'!B43</f>
        <v>0.2769441618627744</v>
      </c>
      <c r="BE150" s="10" t="e">
        <f>BD150*('Summary Sheet'!$F$11-'Summary Sheet'!$F$12)*1000*'Summary Sheet'!$F$6</f>
        <v>#DIV/0!</v>
      </c>
      <c r="BF150" s="10" t="e">
        <f t="shared" si="27"/>
        <v>#DIV/0!</v>
      </c>
      <c r="BN150">
        <v>2021</v>
      </c>
      <c r="BO150" s="10">
        <v>0</v>
      </c>
      <c r="BP150" s="10"/>
      <c r="BQ150" s="140">
        <f>'E- &amp; NG Prices'!B43</f>
        <v>0.2769441618627744</v>
      </c>
      <c r="BR150" s="10" t="e">
        <f>BQ150*('Summary Sheet'!$G$11-'Summary Sheet'!$G$12)*1000*'Summary Sheet'!$G$6</f>
        <v>#DIV/0!</v>
      </c>
      <c r="BS150" s="10" t="e">
        <f t="shared" si="28"/>
        <v>#DIV/0!</v>
      </c>
    </row>
    <row r="151" spans="1:71" ht="12.75">
      <c r="A151">
        <v>2022</v>
      </c>
      <c r="B151" s="10">
        <v>0</v>
      </c>
      <c r="C151" s="10"/>
      <c r="D151" s="140">
        <f>'E- &amp; NG Prices'!B44</f>
        <v>0.29090070778880256</v>
      </c>
      <c r="E151" s="10" t="e">
        <f>D151*('Summary Sheet'!$B$11-'Summary Sheet'!$B$12)*1000*'Summary Sheet'!$B$6</f>
        <v>#DIV/0!</v>
      </c>
      <c r="F151" s="10" t="e">
        <f t="shared" si="24"/>
        <v>#DIV/0!</v>
      </c>
      <c r="N151">
        <v>2022</v>
      </c>
      <c r="O151" s="10">
        <v>0</v>
      </c>
      <c r="P151" s="10"/>
      <c r="Q151" s="140">
        <f>'E- &amp; NG Prices'!J44</f>
        <v>0.29090070778880256</v>
      </c>
      <c r="R151" s="10" t="e">
        <f>Q151*('Summary Sheet'!$C$11-'Summary Sheet'!$C$12)*1000*'Summary Sheet'!$C$6</f>
        <v>#DIV/0!</v>
      </c>
      <c r="S151" s="10" t="e">
        <f t="shared" si="29"/>
        <v>#DIV/0!</v>
      </c>
      <c r="AA151">
        <v>2022</v>
      </c>
      <c r="AB151" s="10">
        <v>0</v>
      </c>
      <c r="AC151" s="10"/>
      <c r="AD151" s="140">
        <f>'E- &amp; NG Prices'!R44</f>
        <v>0.29090070778880256</v>
      </c>
      <c r="AE151" s="10" t="e">
        <f>AD151*('Summary Sheet'!$D$11-'Summary Sheet'!$D$12)*1000*'Summary Sheet'!$D$6</f>
        <v>#DIV/0!</v>
      </c>
      <c r="AF151" s="10" t="e">
        <f t="shared" si="25"/>
        <v>#DIV/0!</v>
      </c>
      <c r="AN151">
        <v>2022</v>
      </c>
      <c r="AO151" s="10">
        <v>0</v>
      </c>
      <c r="AP151" s="10"/>
      <c r="AQ151" s="140">
        <f>'E- &amp; NG Prices'!AA44</f>
        <v>0.29090070778880256</v>
      </c>
      <c r="AR151" s="10" t="e">
        <f>AQ151*('Summary Sheet'!$E$11-'Summary Sheet'!$E$12)*1000*'Summary Sheet'!$E$6</f>
        <v>#DIV/0!</v>
      </c>
      <c r="AS151" s="10" t="e">
        <f t="shared" si="26"/>
        <v>#DIV/0!</v>
      </c>
      <c r="BA151">
        <v>2022</v>
      </c>
      <c r="BB151" s="10">
        <v>0</v>
      </c>
      <c r="BC151" s="10"/>
      <c r="BD151" s="140">
        <f>'E- &amp; NG Prices'!B44</f>
        <v>0.29090070778880256</v>
      </c>
      <c r="BE151" s="10" t="e">
        <f>BD151*('Summary Sheet'!$F$11-'Summary Sheet'!$F$12)*1000*'Summary Sheet'!$F$6</f>
        <v>#DIV/0!</v>
      </c>
      <c r="BF151" s="10" t="e">
        <f t="shared" si="27"/>
        <v>#DIV/0!</v>
      </c>
      <c r="BN151">
        <v>2022</v>
      </c>
      <c r="BO151" s="10">
        <v>0</v>
      </c>
      <c r="BP151" s="10"/>
      <c r="BQ151" s="140">
        <f>'E- &amp; NG Prices'!B44</f>
        <v>0.29090070778880256</v>
      </c>
      <c r="BR151" s="10" t="e">
        <f>BQ151*('Summary Sheet'!$G$11-'Summary Sheet'!$G$12)*1000*'Summary Sheet'!$G$6</f>
        <v>#DIV/0!</v>
      </c>
      <c r="BS151" s="10" t="e">
        <f t="shared" si="28"/>
        <v>#DIV/0!</v>
      </c>
    </row>
    <row r="152" spans="1:71" ht="12.75">
      <c r="A152">
        <v>2023</v>
      </c>
      <c r="B152" s="10">
        <v>0</v>
      </c>
      <c r="C152" s="10"/>
      <c r="D152" s="140">
        <f>'E- &amp; NG Prices'!B45</f>
        <v>0.20010760250189003</v>
      </c>
      <c r="E152" s="10" t="e">
        <f>D152*('Summary Sheet'!$B$11-'Summary Sheet'!$B$12)*1000*'Summary Sheet'!$B$6</f>
        <v>#DIV/0!</v>
      </c>
      <c r="F152" s="10" t="e">
        <f t="shared" si="24"/>
        <v>#DIV/0!</v>
      </c>
      <c r="N152">
        <v>2023</v>
      </c>
      <c r="O152" s="10">
        <v>0</v>
      </c>
      <c r="P152" s="10"/>
      <c r="Q152" s="140">
        <f>'E- &amp; NG Prices'!J45</f>
        <v>0.20010760250189003</v>
      </c>
      <c r="R152" s="10" t="e">
        <f>Q152*('Summary Sheet'!$C$11-'Summary Sheet'!$C$12)*1000*'Summary Sheet'!$C$6</f>
        <v>#DIV/0!</v>
      </c>
      <c r="S152" s="10" t="e">
        <f t="shared" si="29"/>
        <v>#DIV/0!</v>
      </c>
      <c r="AA152">
        <v>2023</v>
      </c>
      <c r="AB152" s="10">
        <v>0</v>
      </c>
      <c r="AC152" s="10"/>
      <c r="AD152" s="140">
        <f>'E- &amp; NG Prices'!R45</f>
        <v>0.20010760250189003</v>
      </c>
      <c r="AE152" s="10" t="e">
        <f>AD152*('Summary Sheet'!$D$11-'Summary Sheet'!$D$12)*1000*'Summary Sheet'!$D$6</f>
        <v>#DIV/0!</v>
      </c>
      <c r="AF152" s="10" t="e">
        <f t="shared" si="25"/>
        <v>#DIV/0!</v>
      </c>
      <c r="AN152">
        <v>2023</v>
      </c>
      <c r="AO152" s="10">
        <v>0</v>
      </c>
      <c r="AP152" s="10"/>
      <c r="AQ152" s="140">
        <f>'E- &amp; NG Prices'!AA45</f>
        <v>0.20010760250189003</v>
      </c>
      <c r="AR152" s="10" t="e">
        <f>AQ152*('Summary Sheet'!$E$11-'Summary Sheet'!$E$12)*1000*'Summary Sheet'!$E$6</f>
        <v>#DIV/0!</v>
      </c>
      <c r="AS152" s="10" t="e">
        <f t="shared" si="26"/>
        <v>#DIV/0!</v>
      </c>
      <c r="BA152">
        <v>2023</v>
      </c>
      <c r="BB152" s="10">
        <v>0</v>
      </c>
      <c r="BC152" s="10"/>
      <c r="BD152" s="140">
        <f>'E- &amp; NG Prices'!B45</f>
        <v>0.20010760250189003</v>
      </c>
      <c r="BE152" s="10" t="e">
        <f>BD152*('Summary Sheet'!$F$11-'Summary Sheet'!$F$12)*1000*'Summary Sheet'!$F$6</f>
        <v>#DIV/0!</v>
      </c>
      <c r="BF152" s="10" t="e">
        <f t="shared" si="27"/>
        <v>#DIV/0!</v>
      </c>
      <c r="BN152">
        <v>2023</v>
      </c>
      <c r="BO152" s="10">
        <v>0</v>
      </c>
      <c r="BP152" s="10"/>
      <c r="BQ152" s="140">
        <f>'E- &amp; NG Prices'!B45</f>
        <v>0.20010760250189003</v>
      </c>
      <c r="BR152" s="10" t="e">
        <f>BQ152*('Summary Sheet'!$G$11-'Summary Sheet'!$G$12)*1000*'Summary Sheet'!$G$6</f>
        <v>#DIV/0!</v>
      </c>
      <c r="BS152" s="10" t="e">
        <f t="shared" si="28"/>
        <v>#DIV/0!</v>
      </c>
    </row>
    <row r="153" spans="1:71" ht="12.75">
      <c r="A153">
        <v>2024</v>
      </c>
      <c r="B153" s="10">
        <v>0</v>
      </c>
      <c r="C153" s="10"/>
      <c r="D153" s="140">
        <f>'E- &amp; NG Prices'!B46</f>
        <v>0.204716512438045</v>
      </c>
      <c r="E153" s="10" t="e">
        <f>D153*('Summary Sheet'!$B$11-'Summary Sheet'!$B$12)*1000*'Summary Sheet'!$B$6</f>
        <v>#DIV/0!</v>
      </c>
      <c r="F153" s="10" t="e">
        <f t="shared" si="24"/>
        <v>#DIV/0!</v>
      </c>
      <c r="N153">
        <v>2024</v>
      </c>
      <c r="O153" s="10">
        <v>0</v>
      </c>
      <c r="P153" s="10"/>
      <c r="Q153" s="140">
        <f>'E- &amp; NG Prices'!J46</f>
        <v>0.204716512438045</v>
      </c>
      <c r="R153" s="10" t="e">
        <f>Q153*('Summary Sheet'!$C$11-'Summary Sheet'!$C$12)*1000*'Summary Sheet'!$C$6</f>
        <v>#DIV/0!</v>
      </c>
      <c r="S153" s="10" t="e">
        <f t="shared" si="29"/>
        <v>#DIV/0!</v>
      </c>
      <c r="AA153">
        <v>2024</v>
      </c>
      <c r="AB153" s="10">
        <v>0</v>
      </c>
      <c r="AC153" s="10"/>
      <c r="AD153" s="140">
        <f>'E- &amp; NG Prices'!R46</f>
        <v>0.204716512438045</v>
      </c>
      <c r="AE153" s="10" t="e">
        <f>AD153*('Summary Sheet'!$D$11-'Summary Sheet'!$D$12)*1000*'Summary Sheet'!$D$6</f>
        <v>#DIV/0!</v>
      </c>
      <c r="AF153" s="10" t="e">
        <f t="shared" si="25"/>
        <v>#DIV/0!</v>
      </c>
      <c r="AN153">
        <v>2024</v>
      </c>
      <c r="AO153" s="10">
        <v>0</v>
      </c>
      <c r="AP153" s="10"/>
      <c r="AQ153" s="140">
        <f>'E- &amp; NG Prices'!AA46</f>
        <v>0.204716512438045</v>
      </c>
      <c r="AR153" s="10" t="e">
        <f>AQ153*('Summary Sheet'!$E$11-'Summary Sheet'!$E$12)*1000*'Summary Sheet'!$E$6</f>
        <v>#DIV/0!</v>
      </c>
      <c r="AS153" s="10" t="e">
        <f t="shared" si="26"/>
        <v>#DIV/0!</v>
      </c>
      <c r="BA153">
        <v>2024</v>
      </c>
      <c r="BB153" s="10">
        <v>0</v>
      </c>
      <c r="BC153" s="10"/>
      <c r="BD153" s="140">
        <f>'E- &amp; NG Prices'!B46</f>
        <v>0.204716512438045</v>
      </c>
      <c r="BE153" s="10" t="e">
        <f>BD153*('Summary Sheet'!$F$11-'Summary Sheet'!$F$12)*1000*'Summary Sheet'!$F$6</f>
        <v>#DIV/0!</v>
      </c>
      <c r="BF153" s="10" t="e">
        <f t="shared" si="27"/>
        <v>#DIV/0!</v>
      </c>
      <c r="BN153">
        <v>2024</v>
      </c>
      <c r="BO153" s="10">
        <v>0</v>
      </c>
      <c r="BP153" s="10"/>
      <c r="BQ153" s="140">
        <f>'E- &amp; NG Prices'!B46</f>
        <v>0.204716512438045</v>
      </c>
      <c r="BR153" s="10" t="e">
        <f>BQ153*('Summary Sheet'!$G$11-'Summary Sheet'!$G$12)*1000*'Summary Sheet'!$G$6</f>
        <v>#DIV/0!</v>
      </c>
      <c r="BS153" s="10" t="e">
        <f t="shared" si="28"/>
        <v>#DIV/0!</v>
      </c>
    </row>
    <row r="154" spans="1:71" ht="12.75">
      <c r="A154">
        <v>2025</v>
      </c>
      <c r="B154" s="10">
        <v>0</v>
      </c>
      <c r="C154" s="10"/>
      <c r="D154" s="140">
        <f>'E- &amp; NG Prices'!B47</f>
        <v>0.20948544494022803</v>
      </c>
      <c r="E154" s="10" t="e">
        <f>D154*('Summary Sheet'!$B$11-'Summary Sheet'!$B$12)*1000*'Summary Sheet'!$B$6</f>
        <v>#DIV/0!</v>
      </c>
      <c r="F154" s="10" t="e">
        <f t="shared" si="24"/>
        <v>#DIV/0!</v>
      </c>
      <c r="N154">
        <v>2025</v>
      </c>
      <c r="O154" s="10">
        <v>0</v>
      </c>
      <c r="P154" s="10"/>
      <c r="Q154" s="140">
        <f>'E- &amp; NG Prices'!J47</f>
        <v>0.20948544494022803</v>
      </c>
      <c r="R154" s="10" t="e">
        <f>Q154*('Summary Sheet'!$C$11-'Summary Sheet'!$C$12)*1000*'Summary Sheet'!$C$6</f>
        <v>#DIV/0!</v>
      </c>
      <c r="S154" s="10" t="e">
        <f t="shared" si="29"/>
        <v>#DIV/0!</v>
      </c>
      <c r="AA154">
        <v>2025</v>
      </c>
      <c r="AB154" s="10">
        <v>0</v>
      </c>
      <c r="AC154" s="10"/>
      <c r="AD154" s="140">
        <f>'E- &amp; NG Prices'!R47</f>
        <v>0.20948544494022803</v>
      </c>
      <c r="AE154" s="10" t="e">
        <f>AD154*('Summary Sheet'!$D$11-'Summary Sheet'!$D$12)*1000*'Summary Sheet'!$D$6</f>
        <v>#DIV/0!</v>
      </c>
      <c r="AF154" s="10" t="e">
        <f t="shared" si="25"/>
        <v>#DIV/0!</v>
      </c>
      <c r="AN154">
        <v>2025</v>
      </c>
      <c r="AO154" s="10">
        <v>0</v>
      </c>
      <c r="AP154" s="10"/>
      <c r="AQ154" s="140">
        <f>'E- &amp; NG Prices'!AA47</f>
        <v>0.20948544494022803</v>
      </c>
      <c r="AR154" s="10" t="e">
        <f>AQ154*('Summary Sheet'!$E$11-'Summary Sheet'!$E$12)*1000*'Summary Sheet'!$E$6</f>
        <v>#DIV/0!</v>
      </c>
      <c r="AS154" s="10" t="e">
        <f t="shared" si="26"/>
        <v>#DIV/0!</v>
      </c>
      <c r="BA154">
        <v>2025</v>
      </c>
      <c r="BB154" s="10">
        <v>0</v>
      </c>
      <c r="BC154" s="10"/>
      <c r="BD154" s="140">
        <f>'E- &amp; NG Prices'!B47</f>
        <v>0.20948544494022803</v>
      </c>
      <c r="BE154" s="10" t="e">
        <f>BD154*('Summary Sheet'!$F$11-'Summary Sheet'!$F$12)*1000*'Summary Sheet'!$F$6</f>
        <v>#DIV/0!</v>
      </c>
      <c r="BF154" s="10" t="e">
        <f t="shared" si="27"/>
        <v>#DIV/0!</v>
      </c>
      <c r="BN154">
        <v>2025</v>
      </c>
      <c r="BO154" s="10">
        <v>0</v>
      </c>
      <c r="BP154" s="10"/>
      <c r="BQ154" s="140">
        <f>'E- &amp; NG Prices'!B47</f>
        <v>0.20948544494022803</v>
      </c>
      <c r="BR154" s="10" t="e">
        <f>BQ154*('Summary Sheet'!$G$11-'Summary Sheet'!$G$12)*1000*'Summary Sheet'!$G$6</f>
        <v>#DIV/0!</v>
      </c>
      <c r="BS154" s="10" t="e">
        <f t="shared" si="28"/>
        <v>#DIV/0!</v>
      </c>
    </row>
    <row r="155" spans="1:71" ht="12.75">
      <c r="A155">
        <v>2026</v>
      </c>
      <c r="B155" s="10">
        <v>0</v>
      </c>
      <c r="C155" s="10"/>
      <c r="D155" s="140">
        <f>'E- &amp; NG Prices'!B48</f>
        <v>0.214416611990727</v>
      </c>
      <c r="E155" s="10" t="e">
        <f>D155*('Summary Sheet'!$B$11-'Summary Sheet'!$B$12)*1000*'Summary Sheet'!$B$6</f>
        <v>#DIV/0!</v>
      </c>
      <c r="F155" s="10" t="e">
        <f>E155+C155+B155</f>
        <v>#DIV/0!</v>
      </c>
      <c r="N155">
        <v>2026</v>
      </c>
      <c r="O155" s="10">
        <v>0</v>
      </c>
      <c r="P155" s="10"/>
      <c r="Q155" s="140">
        <f>'E- &amp; NG Prices'!J48</f>
        <v>0.214416611990727</v>
      </c>
      <c r="R155" s="10" t="e">
        <f>Q155*('Summary Sheet'!$C$11-'Summary Sheet'!$C$12)*1000*'Summary Sheet'!$C$6</f>
        <v>#DIV/0!</v>
      </c>
      <c r="S155" s="10" t="e">
        <f>R155+P155+O155</f>
        <v>#DIV/0!</v>
      </c>
      <c r="AA155">
        <v>2026</v>
      </c>
      <c r="AB155" s="10">
        <v>0</v>
      </c>
      <c r="AC155" s="10"/>
      <c r="AD155" s="140">
        <f>'E- &amp; NG Prices'!R48</f>
        <v>0.214416611990727</v>
      </c>
      <c r="AE155" s="10" t="e">
        <f>AD155*('Summary Sheet'!$D$11-'Summary Sheet'!$D$12)*1000*'Summary Sheet'!$D$6</f>
        <v>#DIV/0!</v>
      </c>
      <c r="AF155" s="10" t="e">
        <f>AE155+AC155+AB155</f>
        <v>#DIV/0!</v>
      </c>
      <c r="AN155">
        <v>2026</v>
      </c>
      <c r="AO155" s="10">
        <v>0</v>
      </c>
      <c r="AP155" s="10"/>
      <c r="AQ155" s="140">
        <f>'E- &amp; NG Prices'!AA48</f>
        <v>0.214416611990727</v>
      </c>
      <c r="AR155" s="10" t="e">
        <f>AQ155*('Summary Sheet'!$E$11-'Summary Sheet'!$E$12)*1000*'Summary Sheet'!$E$6</f>
        <v>#DIV/0!</v>
      </c>
      <c r="AS155" s="10" t="e">
        <f>AR155+AP155+AO155</f>
        <v>#DIV/0!</v>
      </c>
      <c r="BA155">
        <v>2026</v>
      </c>
      <c r="BB155" s="10">
        <v>0</v>
      </c>
      <c r="BC155" s="10"/>
      <c r="BD155" s="140">
        <f>'E- &amp; NG Prices'!B48</f>
        <v>0.214416611990727</v>
      </c>
      <c r="BE155" s="10" t="e">
        <f>BD155*('Summary Sheet'!$F$11-'Summary Sheet'!$F$12)*1000*'Summary Sheet'!$F$6</f>
        <v>#DIV/0!</v>
      </c>
      <c r="BF155" s="10" t="e">
        <f>BE155+BC155+BB155</f>
        <v>#DIV/0!</v>
      </c>
      <c r="BN155">
        <v>2026</v>
      </c>
      <c r="BO155" s="10">
        <v>0</v>
      </c>
      <c r="BP155" s="10"/>
      <c r="BQ155" s="140">
        <f>'E- &amp; NG Prices'!B48</f>
        <v>0.214416611990727</v>
      </c>
      <c r="BR155" s="10" t="e">
        <f>BQ155*('Summary Sheet'!$G$11-'Summary Sheet'!$G$12)*1000*'Summary Sheet'!$G$6</f>
        <v>#DIV/0!</v>
      </c>
      <c r="BS155" s="10" t="e">
        <f>BR155+BP155+BO155</f>
        <v>#DIV/0!</v>
      </c>
    </row>
    <row r="156" spans="1:71" ht="12.75">
      <c r="A156">
        <v>2027</v>
      </c>
      <c r="B156" s="10">
        <v>0</v>
      </c>
      <c r="C156" s="10"/>
      <c r="D156" s="140">
        <f>'E- &amp; NG Prices'!B49</f>
        <v>0.21938136402422</v>
      </c>
      <c r="E156" s="10" t="e">
        <f>D156*('Summary Sheet'!$B$11-'Summary Sheet'!$B$12)*1000*'Summary Sheet'!$B$6</f>
        <v>#DIV/0!</v>
      </c>
      <c r="F156" s="10" t="e">
        <f>E156+C156+B156</f>
        <v>#DIV/0!</v>
      </c>
      <c r="N156">
        <v>2027</v>
      </c>
      <c r="O156" s="10">
        <v>0</v>
      </c>
      <c r="P156" s="10"/>
      <c r="Q156" s="140">
        <f>'E- &amp; NG Prices'!J49</f>
        <v>0.21938136402422</v>
      </c>
      <c r="R156" s="10" t="e">
        <f>Q156*('Summary Sheet'!$C$11-'Summary Sheet'!$C$12)*1000*'Summary Sheet'!$C$6</f>
        <v>#DIV/0!</v>
      </c>
      <c r="S156" s="10" t="e">
        <f>R156+P156+O156</f>
        <v>#DIV/0!</v>
      </c>
      <c r="AA156">
        <v>2027</v>
      </c>
      <c r="AB156" s="10">
        <v>0</v>
      </c>
      <c r="AC156" s="10"/>
      <c r="AD156" s="140">
        <f>'E- &amp; NG Prices'!R49</f>
        <v>0.21938136402422</v>
      </c>
      <c r="AE156" s="10" t="e">
        <f>AD156*('Summary Sheet'!$D$11-'Summary Sheet'!$D$12)*1000*'Summary Sheet'!$D$6</f>
        <v>#DIV/0!</v>
      </c>
      <c r="AF156" s="10" t="e">
        <f>AE156+AC156+AB156</f>
        <v>#DIV/0!</v>
      </c>
      <c r="AN156">
        <v>2027</v>
      </c>
      <c r="AO156" s="10">
        <v>0</v>
      </c>
      <c r="AP156" s="10"/>
      <c r="AQ156" s="140">
        <f>'E- &amp; NG Prices'!AA49</f>
        <v>0.21938136402422</v>
      </c>
      <c r="AR156" s="10" t="e">
        <f>AQ156*('Summary Sheet'!$E$11-'Summary Sheet'!$E$12)*1000*'Summary Sheet'!$E$6</f>
        <v>#DIV/0!</v>
      </c>
      <c r="AS156" s="10" t="e">
        <f>AR156+AP156+AO156</f>
        <v>#DIV/0!</v>
      </c>
      <c r="BA156">
        <v>2027</v>
      </c>
      <c r="BB156" s="10">
        <v>0</v>
      </c>
      <c r="BC156" s="10"/>
      <c r="BD156" s="140">
        <f>'E- &amp; NG Prices'!B49</f>
        <v>0.21938136402422</v>
      </c>
      <c r="BE156" s="10" t="e">
        <f>BD156*('Summary Sheet'!$F$11-'Summary Sheet'!$F$12)*1000*'Summary Sheet'!$F$6</f>
        <v>#DIV/0!</v>
      </c>
      <c r="BF156" s="10" t="e">
        <f>BE156+BC156+BB156</f>
        <v>#DIV/0!</v>
      </c>
      <c r="BN156">
        <v>2027</v>
      </c>
      <c r="BO156" s="10">
        <v>0</v>
      </c>
      <c r="BP156" s="10"/>
      <c r="BQ156" s="140">
        <f>'E- &amp; NG Prices'!B49</f>
        <v>0.21938136402422</v>
      </c>
      <c r="BR156" s="10" t="e">
        <f>BQ156*('Summary Sheet'!$G$11-'Summary Sheet'!$G$12)*1000*'Summary Sheet'!$G$6</f>
        <v>#DIV/0!</v>
      </c>
      <c r="BS156" s="10" t="e">
        <f>BR156+BP156+BO156</f>
        <v>#DIV/0!</v>
      </c>
    </row>
    <row r="157" spans="1:71" ht="12.75">
      <c r="A157">
        <v>2028</v>
      </c>
      <c r="B157" s="10">
        <v>0</v>
      </c>
      <c r="C157" s="10"/>
      <c r="D157" s="140">
        <f>'E- &amp; NG Prices'!B50</f>
        <v>0.224602452722782</v>
      </c>
      <c r="E157" s="10" t="e">
        <f>D157*('Summary Sheet'!$B$11-'Summary Sheet'!$B$12)*1000*'Summary Sheet'!$B$6</f>
        <v>#DIV/0!</v>
      </c>
      <c r="F157" s="10" t="e">
        <f>E157+C157+B157</f>
        <v>#DIV/0!</v>
      </c>
      <c r="N157">
        <v>2028</v>
      </c>
      <c r="O157" s="10">
        <v>0</v>
      </c>
      <c r="P157" s="10"/>
      <c r="Q157" s="140">
        <f>'E- &amp; NG Prices'!J50</f>
        <v>0.224602452722782</v>
      </c>
      <c r="R157" s="10" t="e">
        <f>Q157*('Summary Sheet'!$C$11-'Summary Sheet'!$C$12)*1000*'Summary Sheet'!$C$6</f>
        <v>#DIV/0!</v>
      </c>
      <c r="S157" s="10" t="e">
        <f>R157+P157+O157</f>
        <v>#DIV/0!</v>
      </c>
      <c r="AA157">
        <v>2028</v>
      </c>
      <c r="AB157" s="10">
        <v>0</v>
      </c>
      <c r="AC157" s="10"/>
      <c r="AD157" s="140">
        <f>'E- &amp; NG Prices'!R50</f>
        <v>0.224602452722782</v>
      </c>
      <c r="AE157" s="10" t="e">
        <f>AD157*('Summary Sheet'!$D$11-'Summary Sheet'!$D$12)*1000*'Summary Sheet'!$D$6</f>
        <v>#DIV/0!</v>
      </c>
      <c r="AF157" s="10" t="e">
        <f>AE157+AC157+AB157</f>
        <v>#DIV/0!</v>
      </c>
      <c r="AN157">
        <v>2028</v>
      </c>
      <c r="AO157" s="10">
        <v>0</v>
      </c>
      <c r="AP157" s="10"/>
      <c r="AQ157" s="140">
        <f>'E- &amp; NG Prices'!AA50</f>
        <v>0.224602452722782</v>
      </c>
      <c r="AR157" s="10" t="e">
        <f>AQ157*('Summary Sheet'!$E$11-'Summary Sheet'!$E$12)*1000*'Summary Sheet'!$E$6</f>
        <v>#DIV/0!</v>
      </c>
      <c r="AS157" s="10" t="e">
        <f>AR157+AP157+AO157</f>
        <v>#DIV/0!</v>
      </c>
      <c r="BA157">
        <v>2028</v>
      </c>
      <c r="BB157" s="10">
        <v>0</v>
      </c>
      <c r="BC157" s="10"/>
      <c r="BD157" s="140">
        <f>'E- &amp; NG Prices'!B50</f>
        <v>0.224602452722782</v>
      </c>
      <c r="BE157" s="10" t="e">
        <f>BD157*('Summary Sheet'!$F$11-'Summary Sheet'!$F$12)*1000*'Summary Sheet'!$F$6</f>
        <v>#DIV/0!</v>
      </c>
      <c r="BF157" s="10" t="e">
        <f>BE157+BC157+BB157</f>
        <v>#DIV/0!</v>
      </c>
      <c r="BN157">
        <v>2028</v>
      </c>
      <c r="BO157" s="10">
        <v>0</v>
      </c>
      <c r="BP157" s="10"/>
      <c r="BQ157" s="140">
        <f>'E- &amp; NG Prices'!B50</f>
        <v>0.224602452722782</v>
      </c>
      <c r="BR157" s="10" t="e">
        <f>BQ157*('Summary Sheet'!$G$11-'Summary Sheet'!$G$12)*1000*'Summary Sheet'!$G$6</f>
        <v>#DIV/0!</v>
      </c>
      <c r="BS157" s="10" t="e">
        <f>BR157+BP157+BO157</f>
        <v>#DIV/0!</v>
      </c>
    </row>
    <row r="159" spans="4:70" ht="12.75">
      <c r="D159" t="s">
        <v>197</v>
      </c>
      <c r="E159" s="10" t="e">
        <f>SUM(F138:F157)</f>
        <v>#DIV/0!</v>
      </c>
      <c r="Q159" t="s">
        <v>197</v>
      </c>
      <c r="R159" s="10" t="e">
        <f>SUM(S138:S157)</f>
        <v>#DIV/0!</v>
      </c>
      <c r="AD159" t="s">
        <v>197</v>
      </c>
      <c r="AE159" s="10" t="e">
        <f>SUM(AF138:AF157)</f>
        <v>#DIV/0!</v>
      </c>
      <c r="AQ159" t="s">
        <v>197</v>
      </c>
      <c r="AR159" s="10" t="e">
        <f>SUM(AS138:AS157)</f>
        <v>#DIV/0!</v>
      </c>
      <c r="BD159" t="s">
        <v>197</v>
      </c>
      <c r="BE159" s="10" t="e">
        <f>SUM(BF138:BF157)</f>
        <v>#DIV/0!</v>
      </c>
      <c r="BQ159" t="s">
        <v>197</v>
      </c>
      <c r="BR159" s="10" t="e">
        <f>SUM(BS138:BS157)</f>
        <v>#DIV/0!</v>
      </c>
    </row>
    <row r="160" spans="4:70" ht="12.75">
      <c r="D160" t="s">
        <v>171</v>
      </c>
      <c r="E160" s="8" t="e">
        <f>NPV('Summary Sheet'!B67,$F$138:$F$157)</f>
        <v>#DIV/0!</v>
      </c>
      <c r="Q160" t="s">
        <v>171</v>
      </c>
      <c r="R160" s="8" t="e">
        <f>NPV('Summary Sheet'!$C$67,$S$138:$S$157)</f>
        <v>#DIV/0!</v>
      </c>
      <c r="AD160" t="s">
        <v>171</v>
      </c>
      <c r="AE160" s="8" t="e">
        <f>NPV('Summary Sheet'!$D$67,$AF$138:$AF$157)</f>
        <v>#DIV/0!</v>
      </c>
      <c r="AQ160" t="s">
        <v>171</v>
      </c>
      <c r="AR160" s="8" t="e">
        <f>NPV('Summary Sheet'!$E$67,$AS$138:$AS$157)</f>
        <v>#DIV/0!</v>
      </c>
      <c r="BD160" t="s">
        <v>171</v>
      </c>
      <c r="BE160" s="8" t="e">
        <f>NPV('Summary Sheet'!$F$67,$BF$138:$BF$157)</f>
        <v>#DIV/0!</v>
      </c>
      <c r="BQ160" t="s">
        <v>171</v>
      </c>
      <c r="BR160" s="8" t="e">
        <f>NPV('Summary Sheet'!$G$67,$BS$138:$BS$157)</f>
        <v>#DIV/0!</v>
      </c>
    </row>
    <row r="163" spans="1:68" ht="12.75">
      <c r="A163" s="246" t="s">
        <v>213</v>
      </c>
      <c r="B163" s="246"/>
      <c r="C163" s="246"/>
      <c r="N163" s="246" t="s">
        <v>213</v>
      </c>
      <c r="O163" s="246"/>
      <c r="P163" s="246"/>
      <c r="AA163" s="246" t="s">
        <v>213</v>
      </c>
      <c r="AB163" s="246"/>
      <c r="AC163" s="246"/>
      <c r="AN163" s="246" t="s">
        <v>213</v>
      </c>
      <c r="AO163" s="246"/>
      <c r="AP163" s="246"/>
      <c r="BA163" s="246" t="s">
        <v>213</v>
      </c>
      <c r="BB163" s="246"/>
      <c r="BC163" s="246"/>
      <c r="BN163" s="246" t="s">
        <v>213</v>
      </c>
      <c r="BO163" s="246"/>
      <c r="BP163" s="246"/>
    </row>
    <row r="164" spans="1:68" ht="12.75">
      <c r="A164" s="7" t="s">
        <v>159</v>
      </c>
      <c r="B164" t="s">
        <v>210</v>
      </c>
      <c r="C164" t="s">
        <v>170</v>
      </c>
      <c r="N164" s="7" t="s">
        <v>159</v>
      </c>
      <c r="O164" t="s">
        <v>210</v>
      </c>
      <c r="P164" t="s">
        <v>170</v>
      </c>
      <c r="AA164" s="7" t="s">
        <v>159</v>
      </c>
      <c r="AB164" t="s">
        <v>210</v>
      </c>
      <c r="AC164" t="s">
        <v>170</v>
      </c>
      <c r="AN164" s="7" t="s">
        <v>159</v>
      </c>
      <c r="AO164" t="s">
        <v>210</v>
      </c>
      <c r="AP164" t="s">
        <v>170</v>
      </c>
      <c r="BA164" s="7" t="s">
        <v>159</v>
      </c>
      <c r="BB164" t="s">
        <v>210</v>
      </c>
      <c r="BC164" t="s">
        <v>170</v>
      </c>
      <c r="BN164" s="7" t="s">
        <v>159</v>
      </c>
      <c r="BO164" t="s">
        <v>210</v>
      </c>
      <c r="BP164" t="s">
        <v>170</v>
      </c>
    </row>
    <row r="165" spans="1:68" ht="12.75">
      <c r="A165">
        <v>2009</v>
      </c>
      <c r="B165">
        <f>'Summary Sheet'!$B$58*'Summary Sheet'!$B$6</f>
        <v>0</v>
      </c>
      <c r="C165">
        <f aca="true" t="shared" si="30" ref="C165:C184">(SUM(B165:B165))</f>
        <v>0</v>
      </c>
      <c r="N165">
        <v>2009</v>
      </c>
      <c r="O165">
        <f>'Summary Sheet'!$C$58*'Summary Sheet'!$C$6</f>
        <v>0</v>
      </c>
      <c r="P165">
        <f aca="true" t="shared" si="31" ref="P165:P184">(SUM(O165:O165))</f>
        <v>0</v>
      </c>
      <c r="AA165">
        <v>2009</v>
      </c>
      <c r="AB165">
        <f>'Summary Sheet'!$D$58*'Summary Sheet'!$D$6</f>
        <v>0</v>
      </c>
      <c r="AC165">
        <f aca="true" t="shared" si="32" ref="AC165:AC184">(SUM(AB165:AB165))</f>
        <v>0</v>
      </c>
      <c r="AN165">
        <v>2009</v>
      </c>
      <c r="AO165">
        <f>'Summary Sheet'!$E$58*'Summary Sheet'!$E$6</f>
        <v>0</v>
      </c>
      <c r="AP165">
        <f aca="true" t="shared" si="33" ref="AP165:AP184">(SUM(AO165:AO165))</f>
        <v>0</v>
      </c>
      <c r="BA165">
        <v>2009</v>
      </c>
      <c r="BB165">
        <f>'Summary Sheet'!$F$58*'Summary Sheet'!$F$6</f>
        <v>0</v>
      </c>
      <c r="BC165">
        <f aca="true" t="shared" si="34" ref="BC165:BC184">(SUM(BB165:BB165))</f>
        <v>0</v>
      </c>
      <c r="BN165">
        <v>2009</v>
      </c>
      <c r="BO165">
        <f>'Summary Sheet'!$G$58*'Summary Sheet'!$G$6</f>
        <v>0</v>
      </c>
      <c r="BP165">
        <f aca="true" t="shared" si="35" ref="BP165:BP184">(SUM(BO165:BO165))</f>
        <v>0</v>
      </c>
    </row>
    <row r="166" spans="1:68" ht="12.75">
      <c r="A166">
        <v>2010</v>
      </c>
      <c r="B166">
        <f>'Summary Sheet'!$B$58*'Summary Sheet'!$B$6</f>
        <v>0</v>
      </c>
      <c r="C166">
        <f t="shared" si="30"/>
        <v>0</v>
      </c>
      <c r="N166">
        <v>2010</v>
      </c>
      <c r="O166">
        <f>'Summary Sheet'!$C$58*'Summary Sheet'!$C$6</f>
        <v>0</v>
      </c>
      <c r="P166">
        <f t="shared" si="31"/>
        <v>0</v>
      </c>
      <c r="AA166">
        <v>2010</v>
      </c>
      <c r="AB166">
        <f>'Summary Sheet'!$D$58*'Summary Sheet'!$D$6</f>
        <v>0</v>
      </c>
      <c r="AC166">
        <f t="shared" si="32"/>
        <v>0</v>
      </c>
      <c r="AN166">
        <v>2010</v>
      </c>
      <c r="AO166">
        <f>'Summary Sheet'!$E$58*'Summary Sheet'!$E$6</f>
        <v>0</v>
      </c>
      <c r="AP166">
        <f t="shared" si="33"/>
        <v>0</v>
      </c>
      <c r="BA166">
        <v>2010</v>
      </c>
      <c r="BB166">
        <f>'Summary Sheet'!$F$58*'Summary Sheet'!$F$6</f>
        <v>0</v>
      </c>
      <c r="BC166">
        <f t="shared" si="34"/>
        <v>0</v>
      </c>
      <c r="BN166">
        <v>2010</v>
      </c>
      <c r="BO166">
        <f>'Summary Sheet'!$G$58*'Summary Sheet'!$G$6</f>
        <v>0</v>
      </c>
      <c r="BP166">
        <f t="shared" si="35"/>
        <v>0</v>
      </c>
    </row>
    <row r="167" spans="1:68" ht="12.75">
      <c r="A167">
        <v>2011</v>
      </c>
      <c r="B167">
        <f>'Summary Sheet'!$B$58*'Summary Sheet'!$B$6</f>
        <v>0</v>
      </c>
      <c r="C167">
        <f t="shared" si="30"/>
        <v>0</v>
      </c>
      <c r="N167">
        <v>2011</v>
      </c>
      <c r="O167">
        <f>'Summary Sheet'!$C$58*'Summary Sheet'!$C$6</f>
        <v>0</v>
      </c>
      <c r="P167">
        <f t="shared" si="31"/>
        <v>0</v>
      </c>
      <c r="AA167">
        <v>2011</v>
      </c>
      <c r="AB167">
        <f>'Summary Sheet'!$D$58*'Summary Sheet'!$D$6</f>
        <v>0</v>
      </c>
      <c r="AC167">
        <f t="shared" si="32"/>
        <v>0</v>
      </c>
      <c r="AN167">
        <v>2011</v>
      </c>
      <c r="AO167">
        <f>'Summary Sheet'!$E$58*'Summary Sheet'!$E$6</f>
        <v>0</v>
      </c>
      <c r="AP167">
        <f t="shared" si="33"/>
        <v>0</v>
      </c>
      <c r="BA167">
        <v>2011</v>
      </c>
      <c r="BB167">
        <f>'Summary Sheet'!$F$58*'Summary Sheet'!$F$6</f>
        <v>0</v>
      </c>
      <c r="BC167">
        <f t="shared" si="34"/>
        <v>0</v>
      </c>
      <c r="BN167">
        <v>2011</v>
      </c>
      <c r="BO167">
        <f>'Summary Sheet'!$G$58*'Summary Sheet'!$G$6</f>
        <v>0</v>
      </c>
      <c r="BP167">
        <f t="shared" si="35"/>
        <v>0</v>
      </c>
    </row>
    <row r="168" spans="1:68" ht="12.75">
      <c r="A168">
        <v>2012</v>
      </c>
      <c r="B168">
        <f>'Summary Sheet'!$B$58*'Summary Sheet'!$B$6</f>
        <v>0</v>
      </c>
      <c r="C168">
        <f t="shared" si="30"/>
        <v>0</v>
      </c>
      <c r="N168">
        <v>2012</v>
      </c>
      <c r="O168">
        <f>'Summary Sheet'!$C$58*'Summary Sheet'!$C$6</f>
        <v>0</v>
      </c>
      <c r="P168">
        <f t="shared" si="31"/>
        <v>0</v>
      </c>
      <c r="AA168">
        <v>2012</v>
      </c>
      <c r="AB168">
        <f>'Summary Sheet'!$D$58*'Summary Sheet'!$D$6</f>
        <v>0</v>
      </c>
      <c r="AC168">
        <f t="shared" si="32"/>
        <v>0</v>
      </c>
      <c r="AN168">
        <v>2012</v>
      </c>
      <c r="AO168">
        <f>'Summary Sheet'!$E$58*'Summary Sheet'!$E$6</f>
        <v>0</v>
      </c>
      <c r="AP168">
        <f t="shared" si="33"/>
        <v>0</v>
      </c>
      <c r="BA168">
        <v>2012</v>
      </c>
      <c r="BB168">
        <f>'Summary Sheet'!$F$58*'Summary Sheet'!$F$6</f>
        <v>0</v>
      </c>
      <c r="BC168">
        <f t="shared" si="34"/>
        <v>0</v>
      </c>
      <c r="BN168">
        <v>2012</v>
      </c>
      <c r="BO168">
        <f>'Summary Sheet'!$G$58*'Summary Sheet'!$G$6</f>
        <v>0</v>
      </c>
      <c r="BP168">
        <f t="shared" si="35"/>
        <v>0</v>
      </c>
    </row>
    <row r="169" spans="1:68" ht="12.75">
      <c r="A169">
        <v>2013</v>
      </c>
      <c r="B169">
        <f>'Summary Sheet'!$B$58*'Summary Sheet'!$B$6</f>
        <v>0</v>
      </c>
      <c r="C169">
        <f t="shared" si="30"/>
        <v>0</v>
      </c>
      <c r="N169">
        <v>2013</v>
      </c>
      <c r="O169">
        <f>'Summary Sheet'!$C$58*'Summary Sheet'!$C$6</f>
        <v>0</v>
      </c>
      <c r="P169">
        <f t="shared" si="31"/>
        <v>0</v>
      </c>
      <c r="AA169">
        <v>2013</v>
      </c>
      <c r="AB169">
        <f>'Summary Sheet'!$D$58*'Summary Sheet'!$D$6</f>
        <v>0</v>
      </c>
      <c r="AC169">
        <f t="shared" si="32"/>
        <v>0</v>
      </c>
      <c r="AN169">
        <v>2013</v>
      </c>
      <c r="AO169">
        <f>'Summary Sheet'!$E$58*'Summary Sheet'!$E$6</f>
        <v>0</v>
      </c>
      <c r="AP169">
        <f t="shared" si="33"/>
        <v>0</v>
      </c>
      <c r="BA169">
        <v>2013</v>
      </c>
      <c r="BB169">
        <f>'Summary Sheet'!$F$58*'Summary Sheet'!$F$6</f>
        <v>0</v>
      </c>
      <c r="BC169">
        <f t="shared" si="34"/>
        <v>0</v>
      </c>
      <c r="BN169">
        <v>2013</v>
      </c>
      <c r="BO169">
        <f>'Summary Sheet'!$G$58*'Summary Sheet'!$G$6</f>
        <v>0</v>
      </c>
      <c r="BP169">
        <f t="shared" si="35"/>
        <v>0</v>
      </c>
    </row>
    <row r="170" spans="1:68" ht="12.75">
      <c r="A170">
        <v>2014</v>
      </c>
      <c r="B170">
        <f>'Summary Sheet'!$B$58*'Summary Sheet'!$B$6</f>
        <v>0</v>
      </c>
      <c r="C170">
        <f t="shared" si="30"/>
        <v>0</v>
      </c>
      <c r="N170">
        <v>2014</v>
      </c>
      <c r="O170">
        <f>'Summary Sheet'!$C$58*'Summary Sheet'!$C$6</f>
        <v>0</v>
      </c>
      <c r="P170">
        <f t="shared" si="31"/>
        <v>0</v>
      </c>
      <c r="AA170">
        <v>2014</v>
      </c>
      <c r="AB170">
        <f>'Summary Sheet'!$D$58*'Summary Sheet'!$D$6</f>
        <v>0</v>
      </c>
      <c r="AC170">
        <f t="shared" si="32"/>
        <v>0</v>
      </c>
      <c r="AN170">
        <v>2014</v>
      </c>
      <c r="AO170">
        <f>'Summary Sheet'!$E$58*'Summary Sheet'!$E$6</f>
        <v>0</v>
      </c>
      <c r="AP170">
        <f t="shared" si="33"/>
        <v>0</v>
      </c>
      <c r="BA170">
        <v>2014</v>
      </c>
      <c r="BB170">
        <f>'Summary Sheet'!$F$58*'Summary Sheet'!$F$6</f>
        <v>0</v>
      </c>
      <c r="BC170">
        <f t="shared" si="34"/>
        <v>0</v>
      </c>
      <c r="BN170">
        <v>2014</v>
      </c>
      <c r="BO170">
        <f>'Summary Sheet'!$G$58*'Summary Sheet'!$G$6</f>
        <v>0</v>
      </c>
      <c r="BP170">
        <f t="shared" si="35"/>
        <v>0</v>
      </c>
    </row>
    <row r="171" spans="1:68" ht="12.75">
      <c r="A171">
        <v>2015</v>
      </c>
      <c r="B171">
        <f>'Summary Sheet'!$B$58*'Summary Sheet'!$B$6</f>
        <v>0</v>
      </c>
      <c r="C171">
        <f t="shared" si="30"/>
        <v>0</v>
      </c>
      <c r="N171">
        <v>2015</v>
      </c>
      <c r="O171">
        <f>'Summary Sheet'!$C$58*'Summary Sheet'!$C$6</f>
        <v>0</v>
      </c>
      <c r="P171">
        <f t="shared" si="31"/>
        <v>0</v>
      </c>
      <c r="AA171">
        <v>2015</v>
      </c>
      <c r="AB171">
        <f>'Summary Sheet'!$D$58*'Summary Sheet'!$D$6</f>
        <v>0</v>
      </c>
      <c r="AC171">
        <f t="shared" si="32"/>
        <v>0</v>
      </c>
      <c r="AN171">
        <v>2015</v>
      </c>
      <c r="AO171">
        <f>'Summary Sheet'!$E$58*'Summary Sheet'!$E$6</f>
        <v>0</v>
      </c>
      <c r="AP171">
        <f t="shared" si="33"/>
        <v>0</v>
      </c>
      <c r="BA171">
        <v>2015</v>
      </c>
      <c r="BB171">
        <f>'Summary Sheet'!$F$58*'Summary Sheet'!$F$6</f>
        <v>0</v>
      </c>
      <c r="BC171">
        <f t="shared" si="34"/>
        <v>0</v>
      </c>
      <c r="BN171">
        <v>2015</v>
      </c>
      <c r="BO171">
        <f>'Summary Sheet'!$G$58*'Summary Sheet'!$G$6</f>
        <v>0</v>
      </c>
      <c r="BP171">
        <f t="shared" si="35"/>
        <v>0</v>
      </c>
    </row>
    <row r="172" spans="1:68" ht="12.75">
      <c r="A172">
        <v>2016</v>
      </c>
      <c r="B172">
        <f>'Summary Sheet'!$B$58*'Summary Sheet'!$B$6</f>
        <v>0</v>
      </c>
      <c r="C172">
        <f t="shared" si="30"/>
        <v>0</v>
      </c>
      <c r="N172">
        <v>2016</v>
      </c>
      <c r="O172">
        <f>'Summary Sheet'!$C$58*'Summary Sheet'!$C$6</f>
        <v>0</v>
      </c>
      <c r="P172">
        <f t="shared" si="31"/>
        <v>0</v>
      </c>
      <c r="AA172">
        <v>2016</v>
      </c>
      <c r="AB172">
        <f>'Summary Sheet'!$D$58*'Summary Sheet'!$D$6</f>
        <v>0</v>
      </c>
      <c r="AC172">
        <f t="shared" si="32"/>
        <v>0</v>
      </c>
      <c r="AN172">
        <v>2016</v>
      </c>
      <c r="AO172">
        <f>'Summary Sheet'!$E$58*'Summary Sheet'!$E$6</f>
        <v>0</v>
      </c>
      <c r="AP172">
        <f t="shared" si="33"/>
        <v>0</v>
      </c>
      <c r="BA172">
        <v>2016</v>
      </c>
      <c r="BB172">
        <f>'Summary Sheet'!$F$58*'Summary Sheet'!$F$6</f>
        <v>0</v>
      </c>
      <c r="BC172">
        <f t="shared" si="34"/>
        <v>0</v>
      </c>
      <c r="BN172">
        <v>2016</v>
      </c>
      <c r="BO172">
        <f>'Summary Sheet'!$G$58*'Summary Sheet'!$G$6</f>
        <v>0</v>
      </c>
      <c r="BP172">
        <f t="shared" si="35"/>
        <v>0</v>
      </c>
    </row>
    <row r="173" spans="1:68" ht="12.75">
      <c r="A173">
        <v>2017</v>
      </c>
      <c r="B173">
        <f>'Summary Sheet'!$B$58*'Summary Sheet'!$B$6</f>
        <v>0</v>
      </c>
      <c r="C173">
        <f t="shared" si="30"/>
        <v>0</v>
      </c>
      <c r="N173">
        <v>2017</v>
      </c>
      <c r="O173">
        <f>'Summary Sheet'!$C$58*'Summary Sheet'!$C$6</f>
        <v>0</v>
      </c>
      <c r="P173">
        <f t="shared" si="31"/>
        <v>0</v>
      </c>
      <c r="AA173">
        <v>2017</v>
      </c>
      <c r="AB173">
        <f>'Summary Sheet'!$D$58*'Summary Sheet'!$D$6</f>
        <v>0</v>
      </c>
      <c r="AC173">
        <f t="shared" si="32"/>
        <v>0</v>
      </c>
      <c r="AN173">
        <v>2017</v>
      </c>
      <c r="AO173">
        <f>'Summary Sheet'!$E$58*'Summary Sheet'!$E$6</f>
        <v>0</v>
      </c>
      <c r="AP173">
        <f t="shared" si="33"/>
        <v>0</v>
      </c>
      <c r="BA173">
        <v>2017</v>
      </c>
      <c r="BB173">
        <f>'Summary Sheet'!$F$58*'Summary Sheet'!$F$6</f>
        <v>0</v>
      </c>
      <c r="BC173">
        <f t="shared" si="34"/>
        <v>0</v>
      </c>
      <c r="BN173">
        <v>2017</v>
      </c>
      <c r="BO173">
        <f>'Summary Sheet'!$G$58*'Summary Sheet'!$G$6</f>
        <v>0</v>
      </c>
      <c r="BP173">
        <f t="shared" si="35"/>
        <v>0</v>
      </c>
    </row>
    <row r="174" spans="1:68" ht="12.75">
      <c r="A174">
        <v>2018</v>
      </c>
      <c r="B174">
        <f>'Summary Sheet'!$B$58*'Summary Sheet'!$B$6</f>
        <v>0</v>
      </c>
      <c r="C174">
        <f t="shared" si="30"/>
        <v>0</v>
      </c>
      <c r="N174">
        <v>2018</v>
      </c>
      <c r="O174">
        <f>'Summary Sheet'!$C$58*'Summary Sheet'!$C$6</f>
        <v>0</v>
      </c>
      <c r="P174">
        <f t="shared" si="31"/>
        <v>0</v>
      </c>
      <c r="AA174">
        <v>2018</v>
      </c>
      <c r="AB174">
        <f>'Summary Sheet'!$D$58*'Summary Sheet'!$D$6</f>
        <v>0</v>
      </c>
      <c r="AC174">
        <f t="shared" si="32"/>
        <v>0</v>
      </c>
      <c r="AN174">
        <v>2018</v>
      </c>
      <c r="AO174">
        <f>'Summary Sheet'!$E$58*'Summary Sheet'!$E$6</f>
        <v>0</v>
      </c>
      <c r="AP174">
        <f t="shared" si="33"/>
        <v>0</v>
      </c>
      <c r="BA174">
        <v>2018</v>
      </c>
      <c r="BB174">
        <f>'Summary Sheet'!$F$58*'Summary Sheet'!$F$6</f>
        <v>0</v>
      </c>
      <c r="BC174">
        <f t="shared" si="34"/>
        <v>0</v>
      </c>
      <c r="BN174">
        <v>2018</v>
      </c>
      <c r="BO174">
        <f>'Summary Sheet'!$G$58*'Summary Sheet'!$G$6</f>
        <v>0</v>
      </c>
      <c r="BP174">
        <f t="shared" si="35"/>
        <v>0</v>
      </c>
    </row>
    <row r="175" spans="1:68" ht="12.75">
      <c r="A175">
        <v>2019</v>
      </c>
      <c r="B175">
        <f>'Summary Sheet'!$B$58*'Summary Sheet'!$B$6</f>
        <v>0</v>
      </c>
      <c r="C175">
        <f t="shared" si="30"/>
        <v>0</v>
      </c>
      <c r="N175">
        <v>2019</v>
      </c>
      <c r="O175">
        <f>'Summary Sheet'!$C$58*'Summary Sheet'!$C$6</f>
        <v>0</v>
      </c>
      <c r="P175">
        <f t="shared" si="31"/>
        <v>0</v>
      </c>
      <c r="AA175">
        <v>2019</v>
      </c>
      <c r="AB175">
        <f>'Summary Sheet'!$D$58*'Summary Sheet'!$D$6</f>
        <v>0</v>
      </c>
      <c r="AC175">
        <f t="shared" si="32"/>
        <v>0</v>
      </c>
      <c r="AN175">
        <v>2019</v>
      </c>
      <c r="AO175">
        <f>'Summary Sheet'!$E$58*'Summary Sheet'!$E$6</f>
        <v>0</v>
      </c>
      <c r="AP175">
        <f t="shared" si="33"/>
        <v>0</v>
      </c>
      <c r="BA175">
        <v>2019</v>
      </c>
      <c r="BB175">
        <f>'Summary Sheet'!$F$58*'Summary Sheet'!$F$6</f>
        <v>0</v>
      </c>
      <c r="BC175">
        <f t="shared" si="34"/>
        <v>0</v>
      </c>
      <c r="BN175">
        <v>2019</v>
      </c>
      <c r="BO175">
        <f>'Summary Sheet'!$G$58*'Summary Sheet'!$G$6</f>
        <v>0</v>
      </c>
      <c r="BP175">
        <f t="shared" si="35"/>
        <v>0</v>
      </c>
    </row>
    <row r="176" spans="1:68" ht="12.75">
      <c r="A176">
        <v>2020</v>
      </c>
      <c r="B176">
        <f>'Summary Sheet'!$B$58*'Summary Sheet'!$B$6</f>
        <v>0</v>
      </c>
      <c r="C176">
        <f t="shared" si="30"/>
        <v>0</v>
      </c>
      <c r="N176">
        <v>2020</v>
      </c>
      <c r="O176">
        <f>'Summary Sheet'!$C$58*'Summary Sheet'!$C$6</f>
        <v>0</v>
      </c>
      <c r="P176">
        <f t="shared" si="31"/>
        <v>0</v>
      </c>
      <c r="AA176">
        <v>2020</v>
      </c>
      <c r="AB176">
        <f>'Summary Sheet'!$D$58*'Summary Sheet'!$D$6</f>
        <v>0</v>
      </c>
      <c r="AC176">
        <f t="shared" si="32"/>
        <v>0</v>
      </c>
      <c r="AN176">
        <v>2020</v>
      </c>
      <c r="AO176">
        <f>'Summary Sheet'!$E$58*'Summary Sheet'!$E$6</f>
        <v>0</v>
      </c>
      <c r="AP176">
        <f t="shared" si="33"/>
        <v>0</v>
      </c>
      <c r="BA176">
        <v>2020</v>
      </c>
      <c r="BB176">
        <f>'Summary Sheet'!$F$58*'Summary Sheet'!$F$6</f>
        <v>0</v>
      </c>
      <c r="BC176">
        <f t="shared" si="34"/>
        <v>0</v>
      </c>
      <c r="BN176">
        <v>2020</v>
      </c>
      <c r="BO176">
        <f>'Summary Sheet'!$G$58*'Summary Sheet'!$G$6</f>
        <v>0</v>
      </c>
      <c r="BP176">
        <f t="shared" si="35"/>
        <v>0</v>
      </c>
    </row>
    <row r="177" spans="1:68" ht="12.75">
      <c r="A177">
        <v>2021</v>
      </c>
      <c r="B177">
        <f>'Summary Sheet'!$B$58*'Summary Sheet'!$B$6</f>
        <v>0</v>
      </c>
      <c r="C177">
        <f t="shared" si="30"/>
        <v>0</v>
      </c>
      <c r="N177">
        <v>2021</v>
      </c>
      <c r="O177">
        <f>'Summary Sheet'!$C$58*'Summary Sheet'!$C$6</f>
        <v>0</v>
      </c>
      <c r="P177">
        <f t="shared" si="31"/>
        <v>0</v>
      </c>
      <c r="AA177">
        <v>2021</v>
      </c>
      <c r="AB177">
        <f>'Summary Sheet'!$D$58*'Summary Sheet'!$D$6</f>
        <v>0</v>
      </c>
      <c r="AC177">
        <f t="shared" si="32"/>
        <v>0</v>
      </c>
      <c r="AN177">
        <v>2021</v>
      </c>
      <c r="AO177">
        <f>'Summary Sheet'!$E$58*'Summary Sheet'!$E$6</f>
        <v>0</v>
      </c>
      <c r="AP177">
        <f t="shared" si="33"/>
        <v>0</v>
      </c>
      <c r="BA177">
        <v>2021</v>
      </c>
      <c r="BB177">
        <f>'Summary Sheet'!$F$58*'Summary Sheet'!$F$6</f>
        <v>0</v>
      </c>
      <c r="BC177">
        <f t="shared" si="34"/>
        <v>0</v>
      </c>
      <c r="BN177">
        <v>2021</v>
      </c>
      <c r="BO177">
        <f>'Summary Sheet'!$G$58*'Summary Sheet'!$G$6</f>
        <v>0</v>
      </c>
      <c r="BP177">
        <f t="shared" si="35"/>
        <v>0</v>
      </c>
    </row>
    <row r="178" spans="1:68" ht="12.75">
      <c r="A178">
        <v>2022</v>
      </c>
      <c r="B178">
        <f>'Summary Sheet'!$B$58*'Summary Sheet'!$B$6</f>
        <v>0</v>
      </c>
      <c r="C178">
        <f t="shared" si="30"/>
        <v>0</v>
      </c>
      <c r="N178">
        <v>2022</v>
      </c>
      <c r="O178">
        <f>'Summary Sheet'!$C$58*'Summary Sheet'!$C$6</f>
        <v>0</v>
      </c>
      <c r="P178">
        <f t="shared" si="31"/>
        <v>0</v>
      </c>
      <c r="AA178">
        <v>2022</v>
      </c>
      <c r="AB178">
        <f>'Summary Sheet'!$D$58*'Summary Sheet'!$D$6</f>
        <v>0</v>
      </c>
      <c r="AC178">
        <f t="shared" si="32"/>
        <v>0</v>
      </c>
      <c r="AN178">
        <v>2022</v>
      </c>
      <c r="AO178">
        <f>'Summary Sheet'!$E$58*'Summary Sheet'!$E$6</f>
        <v>0</v>
      </c>
      <c r="AP178">
        <f t="shared" si="33"/>
        <v>0</v>
      </c>
      <c r="BA178">
        <v>2022</v>
      </c>
      <c r="BB178">
        <f>'Summary Sheet'!$F$58*'Summary Sheet'!$F$6</f>
        <v>0</v>
      </c>
      <c r="BC178">
        <f t="shared" si="34"/>
        <v>0</v>
      </c>
      <c r="BN178">
        <v>2022</v>
      </c>
      <c r="BO178">
        <f>'Summary Sheet'!$G$58*'Summary Sheet'!$G$6</f>
        <v>0</v>
      </c>
      <c r="BP178">
        <f t="shared" si="35"/>
        <v>0</v>
      </c>
    </row>
    <row r="179" spans="1:68" ht="12.75">
      <c r="A179">
        <v>2023</v>
      </c>
      <c r="B179">
        <f>'Summary Sheet'!$B$58*'Summary Sheet'!$B$6</f>
        <v>0</v>
      </c>
      <c r="C179">
        <f t="shared" si="30"/>
        <v>0</v>
      </c>
      <c r="N179">
        <v>2023</v>
      </c>
      <c r="O179">
        <f>'Summary Sheet'!$C$58*'Summary Sheet'!$C$6</f>
        <v>0</v>
      </c>
      <c r="P179">
        <f t="shared" si="31"/>
        <v>0</v>
      </c>
      <c r="AA179">
        <v>2023</v>
      </c>
      <c r="AB179">
        <f>'Summary Sheet'!$D$58*'Summary Sheet'!$D$6</f>
        <v>0</v>
      </c>
      <c r="AC179">
        <f t="shared" si="32"/>
        <v>0</v>
      </c>
      <c r="AN179">
        <v>2023</v>
      </c>
      <c r="AO179">
        <f>'Summary Sheet'!$E$58*'Summary Sheet'!$E$6</f>
        <v>0</v>
      </c>
      <c r="AP179">
        <f t="shared" si="33"/>
        <v>0</v>
      </c>
      <c r="BA179">
        <v>2023</v>
      </c>
      <c r="BB179">
        <f>'Summary Sheet'!$F$58*'Summary Sheet'!$F$6</f>
        <v>0</v>
      </c>
      <c r="BC179">
        <f t="shared" si="34"/>
        <v>0</v>
      </c>
      <c r="BN179">
        <v>2023</v>
      </c>
      <c r="BO179">
        <f>'Summary Sheet'!$G$58*'Summary Sheet'!$G$6</f>
        <v>0</v>
      </c>
      <c r="BP179">
        <f t="shared" si="35"/>
        <v>0</v>
      </c>
    </row>
    <row r="180" spans="1:68" ht="12.75">
      <c r="A180">
        <v>2024</v>
      </c>
      <c r="B180">
        <f>'Summary Sheet'!$B$58*'Summary Sheet'!$B$6</f>
        <v>0</v>
      </c>
      <c r="C180">
        <f t="shared" si="30"/>
        <v>0</v>
      </c>
      <c r="N180">
        <v>2024</v>
      </c>
      <c r="O180">
        <f>'Summary Sheet'!$C$58*'Summary Sheet'!$C$6</f>
        <v>0</v>
      </c>
      <c r="P180">
        <f t="shared" si="31"/>
        <v>0</v>
      </c>
      <c r="AA180">
        <v>2024</v>
      </c>
      <c r="AB180">
        <f>'Summary Sheet'!$D$58*'Summary Sheet'!$D$6</f>
        <v>0</v>
      </c>
      <c r="AC180">
        <f t="shared" si="32"/>
        <v>0</v>
      </c>
      <c r="AN180">
        <v>2024</v>
      </c>
      <c r="AO180">
        <f>'Summary Sheet'!$E$58*'Summary Sheet'!$E$6</f>
        <v>0</v>
      </c>
      <c r="AP180">
        <f t="shared" si="33"/>
        <v>0</v>
      </c>
      <c r="BA180">
        <v>2024</v>
      </c>
      <c r="BB180">
        <f>'Summary Sheet'!$F$58*'Summary Sheet'!$F$6</f>
        <v>0</v>
      </c>
      <c r="BC180">
        <f t="shared" si="34"/>
        <v>0</v>
      </c>
      <c r="BN180">
        <v>2024</v>
      </c>
      <c r="BO180">
        <f>'Summary Sheet'!$G$58*'Summary Sheet'!$G$6</f>
        <v>0</v>
      </c>
      <c r="BP180">
        <f t="shared" si="35"/>
        <v>0</v>
      </c>
    </row>
    <row r="181" spans="1:68" ht="12.75">
      <c r="A181">
        <v>2025</v>
      </c>
      <c r="B181">
        <f>'Summary Sheet'!$B$58*'Summary Sheet'!$B$6</f>
        <v>0</v>
      </c>
      <c r="C181">
        <f t="shared" si="30"/>
        <v>0</v>
      </c>
      <c r="N181">
        <v>2025</v>
      </c>
      <c r="O181">
        <f>'Summary Sheet'!$C$58*'Summary Sheet'!$C$6</f>
        <v>0</v>
      </c>
      <c r="P181">
        <f t="shared" si="31"/>
        <v>0</v>
      </c>
      <c r="AA181">
        <v>2025</v>
      </c>
      <c r="AB181">
        <f>'Summary Sheet'!$D$58*'Summary Sheet'!$D$6</f>
        <v>0</v>
      </c>
      <c r="AC181">
        <f t="shared" si="32"/>
        <v>0</v>
      </c>
      <c r="AN181">
        <v>2025</v>
      </c>
      <c r="AO181">
        <f>'Summary Sheet'!$E$58*'Summary Sheet'!$E$6</f>
        <v>0</v>
      </c>
      <c r="AP181">
        <f t="shared" si="33"/>
        <v>0</v>
      </c>
      <c r="BA181">
        <v>2025</v>
      </c>
      <c r="BB181">
        <f>'Summary Sheet'!$F$58*'Summary Sheet'!$F$6</f>
        <v>0</v>
      </c>
      <c r="BC181">
        <f t="shared" si="34"/>
        <v>0</v>
      </c>
      <c r="BN181">
        <v>2025</v>
      </c>
      <c r="BO181">
        <f>'Summary Sheet'!$G$58*'Summary Sheet'!$G$6</f>
        <v>0</v>
      </c>
      <c r="BP181">
        <f t="shared" si="35"/>
        <v>0</v>
      </c>
    </row>
    <row r="182" spans="1:68" ht="12.75">
      <c r="A182">
        <v>2026</v>
      </c>
      <c r="B182">
        <f>'Summary Sheet'!$B$58*'Summary Sheet'!$B$6</f>
        <v>0</v>
      </c>
      <c r="C182">
        <f t="shared" si="30"/>
        <v>0</v>
      </c>
      <c r="N182">
        <v>2026</v>
      </c>
      <c r="O182">
        <f>'Summary Sheet'!$C$58*'Summary Sheet'!$C$6</f>
        <v>0</v>
      </c>
      <c r="P182">
        <f t="shared" si="31"/>
        <v>0</v>
      </c>
      <c r="AA182">
        <v>2026</v>
      </c>
      <c r="AB182">
        <f>'Summary Sheet'!$D$58*'Summary Sheet'!$D$6</f>
        <v>0</v>
      </c>
      <c r="AC182">
        <f t="shared" si="32"/>
        <v>0</v>
      </c>
      <c r="AN182">
        <v>2026</v>
      </c>
      <c r="AO182">
        <f>'Summary Sheet'!$E$58*'Summary Sheet'!$E$6</f>
        <v>0</v>
      </c>
      <c r="AP182">
        <f t="shared" si="33"/>
        <v>0</v>
      </c>
      <c r="BA182">
        <v>2026</v>
      </c>
      <c r="BB182">
        <f>'Summary Sheet'!$F$58*'Summary Sheet'!$F$6</f>
        <v>0</v>
      </c>
      <c r="BC182">
        <f t="shared" si="34"/>
        <v>0</v>
      </c>
      <c r="BN182">
        <v>2026</v>
      </c>
      <c r="BO182">
        <f>'Summary Sheet'!$G$58*'Summary Sheet'!$G$6</f>
        <v>0</v>
      </c>
      <c r="BP182">
        <f t="shared" si="35"/>
        <v>0</v>
      </c>
    </row>
    <row r="183" spans="1:68" ht="12.75">
      <c r="A183">
        <v>2027</v>
      </c>
      <c r="B183">
        <f>'Summary Sheet'!$B$58*'Summary Sheet'!$B$6</f>
        <v>0</v>
      </c>
      <c r="C183">
        <f t="shared" si="30"/>
        <v>0</v>
      </c>
      <c r="N183">
        <v>2027</v>
      </c>
      <c r="O183">
        <f>'Summary Sheet'!$C$58*'Summary Sheet'!$C$6</f>
        <v>0</v>
      </c>
      <c r="P183">
        <f t="shared" si="31"/>
        <v>0</v>
      </c>
      <c r="AA183">
        <v>2027</v>
      </c>
      <c r="AB183">
        <f>'Summary Sheet'!$D$58*'Summary Sheet'!$D$6</f>
        <v>0</v>
      </c>
      <c r="AC183">
        <f t="shared" si="32"/>
        <v>0</v>
      </c>
      <c r="AN183">
        <v>2027</v>
      </c>
      <c r="AO183">
        <f>'Summary Sheet'!$E$58*'Summary Sheet'!$E$6</f>
        <v>0</v>
      </c>
      <c r="AP183">
        <f t="shared" si="33"/>
        <v>0</v>
      </c>
      <c r="BA183">
        <v>2027</v>
      </c>
      <c r="BB183">
        <f>'Summary Sheet'!$F$58*'Summary Sheet'!$F$6</f>
        <v>0</v>
      </c>
      <c r="BC183">
        <f t="shared" si="34"/>
        <v>0</v>
      </c>
      <c r="BN183">
        <v>2027</v>
      </c>
      <c r="BO183">
        <f>'Summary Sheet'!$G$58*'Summary Sheet'!$G$6</f>
        <v>0</v>
      </c>
      <c r="BP183">
        <f t="shared" si="35"/>
        <v>0</v>
      </c>
    </row>
    <row r="184" spans="1:68" ht="12.75">
      <c r="A184">
        <v>2028</v>
      </c>
      <c r="B184">
        <f>'Summary Sheet'!$B$58*'Summary Sheet'!$B$6</f>
        <v>0</v>
      </c>
      <c r="C184">
        <f t="shared" si="30"/>
        <v>0</v>
      </c>
      <c r="N184">
        <v>2028</v>
      </c>
      <c r="O184">
        <f>'Summary Sheet'!$C$58*'Summary Sheet'!$C$6</f>
        <v>0</v>
      </c>
      <c r="P184">
        <f t="shared" si="31"/>
        <v>0</v>
      </c>
      <c r="AA184">
        <v>2028</v>
      </c>
      <c r="AB184">
        <f>'Summary Sheet'!$D$58*'Summary Sheet'!$D$6</f>
        <v>0</v>
      </c>
      <c r="AC184">
        <f t="shared" si="32"/>
        <v>0</v>
      </c>
      <c r="AN184">
        <v>2028</v>
      </c>
      <c r="AO184">
        <f>'Summary Sheet'!$E$58*'Summary Sheet'!$E$6</f>
        <v>0</v>
      </c>
      <c r="AP184">
        <f t="shared" si="33"/>
        <v>0</v>
      </c>
      <c r="BA184">
        <v>2028</v>
      </c>
      <c r="BB184">
        <f>'Summary Sheet'!$F$58*'Summary Sheet'!$F$6</f>
        <v>0</v>
      </c>
      <c r="BC184">
        <f t="shared" si="34"/>
        <v>0</v>
      </c>
      <c r="BN184">
        <v>2028</v>
      </c>
      <c r="BO184">
        <f>'Summary Sheet'!$G$58*'Summary Sheet'!$G$6</f>
        <v>0</v>
      </c>
      <c r="BP184">
        <f t="shared" si="35"/>
        <v>0</v>
      </c>
    </row>
    <row r="186" spans="2:68" ht="12.75">
      <c r="B186" t="s">
        <v>170</v>
      </c>
      <c r="C186">
        <f>SUM(C165:C184)</f>
        <v>0</v>
      </c>
      <c r="O186" t="s">
        <v>170</v>
      </c>
      <c r="P186">
        <f>SUM(P165:P184)</f>
        <v>0</v>
      </c>
      <c r="AB186" t="s">
        <v>170</v>
      </c>
      <c r="AC186">
        <f>SUM(AC165:AC184)</f>
        <v>0</v>
      </c>
      <c r="AO186" t="s">
        <v>170</v>
      </c>
      <c r="AP186">
        <f>SUM(AP165:AP184)</f>
        <v>0</v>
      </c>
      <c r="BB186" t="s">
        <v>170</v>
      </c>
      <c r="BC186">
        <f>SUM(BC165:BC184)</f>
        <v>0</v>
      </c>
      <c r="BO186" t="s">
        <v>170</v>
      </c>
      <c r="BP186">
        <f>SUM(BP165:BP184)</f>
        <v>0</v>
      </c>
    </row>
    <row r="187" spans="2:68" ht="12.75">
      <c r="B187" t="s">
        <v>171</v>
      </c>
      <c r="C187" s="8">
        <f>NPV('Summary Sheet'!$B$67,C165:C184)</f>
        <v>0</v>
      </c>
      <c r="O187" t="s">
        <v>171</v>
      </c>
      <c r="P187" s="8">
        <f>NPV('Summary Sheet'!$C$67,P165:P184)</f>
        <v>0</v>
      </c>
      <c r="AB187" t="s">
        <v>171</v>
      </c>
      <c r="AC187" s="8">
        <f>NPV('Summary Sheet'!$D$67,AC165:AC184)</f>
        <v>0</v>
      </c>
      <c r="AO187" t="s">
        <v>171</v>
      </c>
      <c r="AP187" s="8">
        <f>NPV('Summary Sheet'!$E$67,AP165:AP184)</f>
        <v>0</v>
      </c>
      <c r="BB187" t="s">
        <v>171</v>
      </c>
      <c r="BC187" s="8">
        <f>NPV('Summary Sheet'!$F$67,BC165:BC184)</f>
        <v>0</v>
      </c>
      <c r="BO187" t="s">
        <v>171</v>
      </c>
      <c r="BP187" s="8">
        <f>NPV('Summary Sheet'!$G$67,BP165:BP184)</f>
        <v>0</v>
      </c>
    </row>
    <row r="189" spans="1:71" ht="12.75">
      <c r="A189" s="246" t="s">
        <v>220</v>
      </c>
      <c r="B189" s="246"/>
      <c r="C189" s="246"/>
      <c r="D189" s="246"/>
      <c r="E189" s="246"/>
      <c r="F189" s="245"/>
      <c r="N189" s="246" t="s">
        <v>220</v>
      </c>
      <c r="O189" s="246"/>
      <c r="P189" s="246"/>
      <c r="Q189" s="246"/>
      <c r="R189" s="246"/>
      <c r="S189" s="245"/>
      <c r="AA189" s="246" t="s">
        <v>220</v>
      </c>
      <c r="AB189" s="246"/>
      <c r="AC189" s="246"/>
      <c r="AD189" s="246"/>
      <c r="AE189" s="246"/>
      <c r="AF189" s="245"/>
      <c r="AN189" s="246" t="s">
        <v>220</v>
      </c>
      <c r="AO189" s="246"/>
      <c r="AP189" s="246"/>
      <c r="AQ189" s="246"/>
      <c r="AR189" s="246"/>
      <c r="AS189" s="245"/>
      <c r="BA189" s="246" t="s">
        <v>220</v>
      </c>
      <c r="BB189" s="246"/>
      <c r="BC189" s="246"/>
      <c r="BD189" s="246"/>
      <c r="BE189" s="246"/>
      <c r="BF189" s="245"/>
      <c r="BN189" s="246" t="s">
        <v>220</v>
      </c>
      <c r="BO189" s="246"/>
      <c r="BP189" s="246"/>
      <c r="BQ189" s="246"/>
      <c r="BR189" s="246"/>
      <c r="BS189" s="245"/>
    </row>
    <row r="190" spans="1:71" ht="25.5">
      <c r="A190" s="7" t="s">
        <v>159</v>
      </c>
      <c r="B190" s="7" t="s">
        <v>764</v>
      </c>
      <c r="C190" s="7" t="s">
        <v>221</v>
      </c>
      <c r="D190" s="7" t="s">
        <v>222</v>
      </c>
      <c r="E190" s="7"/>
      <c r="F190" s="7" t="s">
        <v>220</v>
      </c>
      <c r="N190" s="7" t="s">
        <v>159</v>
      </c>
      <c r="O190" s="7" t="s">
        <v>764</v>
      </c>
      <c r="P190" s="7" t="s">
        <v>221</v>
      </c>
      <c r="Q190" s="7" t="s">
        <v>222</v>
      </c>
      <c r="R190" s="7"/>
      <c r="S190" s="7" t="s">
        <v>220</v>
      </c>
      <c r="AA190" s="7" t="s">
        <v>159</v>
      </c>
      <c r="AB190" s="7" t="s">
        <v>764</v>
      </c>
      <c r="AC190" s="7" t="s">
        <v>221</v>
      </c>
      <c r="AD190" s="7" t="s">
        <v>222</v>
      </c>
      <c r="AE190" s="7"/>
      <c r="AF190" s="7" t="s">
        <v>220</v>
      </c>
      <c r="AN190" s="7" t="s">
        <v>159</v>
      </c>
      <c r="AO190" s="7" t="s">
        <v>764</v>
      </c>
      <c r="AP190" s="7" t="s">
        <v>221</v>
      </c>
      <c r="AQ190" s="7" t="s">
        <v>222</v>
      </c>
      <c r="AR190" s="7"/>
      <c r="AS190" s="7" t="s">
        <v>220</v>
      </c>
      <c r="BA190" s="7" t="s">
        <v>159</v>
      </c>
      <c r="BB190" s="7" t="s">
        <v>764</v>
      </c>
      <c r="BC190" s="7" t="s">
        <v>221</v>
      </c>
      <c r="BD190" s="7" t="s">
        <v>222</v>
      </c>
      <c r="BE190" s="7"/>
      <c r="BF190" s="7" t="s">
        <v>220</v>
      </c>
      <c r="BN190" s="7" t="s">
        <v>159</v>
      </c>
      <c r="BO190" s="7" t="s">
        <v>764</v>
      </c>
      <c r="BP190" s="7" t="s">
        <v>221</v>
      </c>
      <c r="BQ190" s="7" t="s">
        <v>222</v>
      </c>
      <c r="BR190" s="7"/>
      <c r="BS190" s="7" t="s">
        <v>220</v>
      </c>
    </row>
    <row r="191" spans="1:71" ht="12.75">
      <c r="A191">
        <v>2009</v>
      </c>
      <c r="B191" s="10">
        <f>'Capacity Prices'!C6*1000</f>
        <v>109040.10000000002</v>
      </c>
      <c r="C191" s="10">
        <f>'Summary Sheet'!$B$13-'Summary Sheet'!$B$14</f>
        <v>0</v>
      </c>
      <c r="D191" s="10">
        <f>'Summary Sheet'!$B$34</f>
        <v>0</v>
      </c>
      <c r="F191" s="10" t="e">
        <f>(((C191/(8760*D191))*B191)*'Summary Sheet'!$B$6)</f>
        <v>#DIV/0!</v>
      </c>
      <c r="N191">
        <v>2009</v>
      </c>
      <c r="O191" s="10">
        <f>B191</f>
        <v>109040.10000000002</v>
      </c>
      <c r="P191" s="10">
        <f>'Summary Sheet'!$B$13-'Summary Sheet'!$B$14</f>
        <v>0</v>
      </c>
      <c r="Q191" s="10">
        <f>'Summary Sheet'!$B$34</f>
        <v>0</v>
      </c>
      <c r="S191" s="10">
        <v>0</v>
      </c>
      <c r="AA191">
        <v>2009</v>
      </c>
      <c r="AB191" s="10">
        <f>O191</f>
        <v>109040.10000000002</v>
      </c>
      <c r="AC191" s="10">
        <f>'Summary Sheet'!$B$13-'Summary Sheet'!$B$14</f>
        <v>0</v>
      </c>
      <c r="AD191" s="10">
        <f>'Summary Sheet'!$B$34</f>
        <v>0</v>
      </c>
      <c r="AF191" s="10" t="e">
        <f>(((AC191/(8760*AD191))*AB191)*'Summary Sheet'!$D$6)</f>
        <v>#DIV/0!</v>
      </c>
      <c r="AN191">
        <v>2009</v>
      </c>
      <c r="AO191" s="10">
        <f>AB191</f>
        <v>109040.10000000002</v>
      </c>
      <c r="AP191" s="10">
        <f>'Summary Sheet'!$B$13-'Summary Sheet'!$B$14</f>
        <v>0</v>
      </c>
      <c r="AQ191" s="10">
        <f>'Summary Sheet'!$B$34</f>
        <v>0</v>
      </c>
      <c r="AS191" s="10" t="e">
        <f>(((AP191/(8760*AQ191))*AO191)*'Summary Sheet'!$E$6)</f>
        <v>#DIV/0!</v>
      </c>
      <c r="BA191">
        <v>2009</v>
      </c>
      <c r="BB191" s="10">
        <f>AO191</f>
        <v>109040.10000000002</v>
      </c>
      <c r="BC191" s="10">
        <f>'Summary Sheet'!$B$13-'Summary Sheet'!$B$14</f>
        <v>0</v>
      </c>
      <c r="BD191" s="10">
        <f>'Summary Sheet'!$B$34</f>
        <v>0</v>
      </c>
      <c r="BF191" s="10" t="e">
        <f>(((BC191/(8760*BD191))*BB191)*'Summary Sheet'!$F$6)</f>
        <v>#DIV/0!</v>
      </c>
      <c r="BN191">
        <v>2009</v>
      </c>
      <c r="BO191" s="10">
        <f>BB191</f>
        <v>109040.10000000002</v>
      </c>
      <c r="BP191" s="10">
        <f>'Summary Sheet'!$B$13-'Summary Sheet'!$B$14</f>
        <v>0</v>
      </c>
      <c r="BQ191" s="10">
        <f>'Summary Sheet'!$B$34</f>
        <v>0</v>
      </c>
      <c r="BS191" s="10" t="e">
        <f>(((BP191/(8760*BQ191))*BO191)*'Summary Sheet'!G$6)</f>
        <v>#DIV/0!</v>
      </c>
    </row>
    <row r="192" spans="1:71" ht="12.75">
      <c r="A192">
        <v>2010</v>
      </c>
      <c r="B192" s="10">
        <f>'Capacity Prices'!C7*1000</f>
        <v>114405.6</v>
      </c>
      <c r="C192" s="10">
        <f>'Summary Sheet'!$B$13-'Summary Sheet'!$B$14</f>
        <v>0</v>
      </c>
      <c r="D192" s="10">
        <f>'Summary Sheet'!$B$34</f>
        <v>0</v>
      </c>
      <c r="F192" s="10" t="e">
        <f>(((C192/(8760*D192))*B192)*'Summary Sheet'!$B$6)</f>
        <v>#DIV/0!</v>
      </c>
      <c r="N192">
        <v>2010</v>
      </c>
      <c r="O192" s="10">
        <f aca="true" t="shared" si="36" ref="O192:O210">B192</f>
        <v>114405.6</v>
      </c>
      <c r="P192" s="10">
        <f>'Summary Sheet'!$B$13-'Summary Sheet'!$B$14</f>
        <v>0</v>
      </c>
      <c r="Q192" s="10">
        <f>'Summary Sheet'!$B$34</f>
        <v>0</v>
      </c>
      <c r="S192" s="10" t="e">
        <f>(((P192/(8760*Q192))*O192)*'Summary Sheet'!$C$6)</f>
        <v>#DIV/0!</v>
      </c>
      <c r="AA192">
        <v>2010</v>
      </c>
      <c r="AB192" s="10">
        <f aca="true" t="shared" si="37" ref="AB192:AB210">O192</f>
        <v>114405.6</v>
      </c>
      <c r="AC192" s="10">
        <f>'Summary Sheet'!$B$13-'Summary Sheet'!$B$14</f>
        <v>0</v>
      </c>
      <c r="AD192" s="10">
        <f>'Summary Sheet'!$B$34</f>
        <v>0</v>
      </c>
      <c r="AF192" s="10" t="e">
        <f>(((AC192/(8760*AD192))*AB192)*'Summary Sheet'!$D$6)</f>
        <v>#DIV/0!</v>
      </c>
      <c r="AN192">
        <v>2010</v>
      </c>
      <c r="AO192" s="10">
        <f aca="true" t="shared" si="38" ref="AO192:AO210">AB192</f>
        <v>114405.6</v>
      </c>
      <c r="AP192" s="10">
        <f>'Summary Sheet'!$B$13-'Summary Sheet'!$B$14</f>
        <v>0</v>
      </c>
      <c r="AQ192" s="10">
        <f>'Summary Sheet'!$B$34</f>
        <v>0</v>
      </c>
      <c r="AS192" s="10" t="e">
        <f>(((AP192/(8760*AQ192))*AO192)*'Summary Sheet'!$E$6)</f>
        <v>#DIV/0!</v>
      </c>
      <c r="BA192">
        <v>2010</v>
      </c>
      <c r="BB192" s="10">
        <f aca="true" t="shared" si="39" ref="BB192:BB210">AO192</f>
        <v>114405.6</v>
      </c>
      <c r="BC192" s="10">
        <f>'Summary Sheet'!$B$13-'Summary Sheet'!$B$14</f>
        <v>0</v>
      </c>
      <c r="BD192" s="10">
        <f>'Summary Sheet'!$B$34</f>
        <v>0</v>
      </c>
      <c r="BF192" s="10" t="e">
        <f>(((BC192/(8760*BD192))*BB192)*'Summary Sheet'!$F$6)</f>
        <v>#DIV/0!</v>
      </c>
      <c r="BN192">
        <v>2010</v>
      </c>
      <c r="BO192" s="10">
        <f aca="true" t="shared" si="40" ref="BO192:BO210">BB192</f>
        <v>114405.6</v>
      </c>
      <c r="BP192" s="10">
        <f>'Summary Sheet'!$B$13-'Summary Sheet'!$B$14</f>
        <v>0</v>
      </c>
      <c r="BQ192" s="10">
        <f>'Summary Sheet'!$B$34</f>
        <v>0</v>
      </c>
      <c r="BS192" s="10" t="e">
        <f>(((BP192/(8760*BQ192))*BO192)*'Summary Sheet'!G$6)</f>
        <v>#DIV/0!</v>
      </c>
    </row>
    <row r="193" spans="1:71" ht="12.75">
      <c r="A193">
        <v>2011</v>
      </c>
      <c r="B193" s="10">
        <f>'Capacity Prices'!C8*1000</f>
        <v>116210.16</v>
      </c>
      <c r="C193" s="10">
        <f>'Summary Sheet'!$B$13-'Summary Sheet'!$B$14</f>
        <v>0</v>
      </c>
      <c r="D193" s="10">
        <f>'Summary Sheet'!$B$34</f>
        <v>0</v>
      </c>
      <c r="F193" s="10" t="e">
        <f>(((C193/(8760*D193))*B193)*'Summary Sheet'!$B$6)</f>
        <v>#DIV/0!</v>
      </c>
      <c r="N193">
        <v>2011</v>
      </c>
      <c r="O193" s="10">
        <f t="shared" si="36"/>
        <v>116210.16</v>
      </c>
      <c r="P193" s="10">
        <f>'Summary Sheet'!$B$13-'Summary Sheet'!$B$14</f>
        <v>0</v>
      </c>
      <c r="Q193" s="10">
        <f>'Summary Sheet'!$B$34</f>
        <v>0</v>
      </c>
      <c r="S193" s="10" t="e">
        <f>(((P193/(8760*Q193))*O193)*'Summary Sheet'!$C$6)</f>
        <v>#DIV/0!</v>
      </c>
      <c r="AA193">
        <v>2011</v>
      </c>
      <c r="AB193" s="10">
        <f t="shared" si="37"/>
        <v>116210.16</v>
      </c>
      <c r="AC193" s="10">
        <f>'Summary Sheet'!$B$13-'Summary Sheet'!$B$14</f>
        <v>0</v>
      </c>
      <c r="AD193" s="10">
        <f>'Summary Sheet'!$B$34</f>
        <v>0</v>
      </c>
      <c r="AF193" s="10" t="e">
        <f>(((AC193/(8760*AD193))*AB193)*'Summary Sheet'!$D$6)</f>
        <v>#DIV/0!</v>
      </c>
      <c r="AN193">
        <v>2011</v>
      </c>
      <c r="AO193" s="10">
        <f t="shared" si="38"/>
        <v>116210.16</v>
      </c>
      <c r="AP193" s="10">
        <f>'Summary Sheet'!$B$13-'Summary Sheet'!$B$14</f>
        <v>0</v>
      </c>
      <c r="AQ193" s="10">
        <f>'Summary Sheet'!$B$34</f>
        <v>0</v>
      </c>
      <c r="AS193" s="10" t="e">
        <f>(((AP193/(8760*AQ193))*AO193)*'Summary Sheet'!$E$6)</f>
        <v>#DIV/0!</v>
      </c>
      <c r="BA193">
        <v>2011</v>
      </c>
      <c r="BB193" s="10">
        <f t="shared" si="39"/>
        <v>116210.16</v>
      </c>
      <c r="BC193" s="10">
        <f>'Summary Sheet'!$B$13-'Summary Sheet'!$B$14</f>
        <v>0</v>
      </c>
      <c r="BD193" s="10">
        <f>'Summary Sheet'!$B$34</f>
        <v>0</v>
      </c>
      <c r="BF193" s="10" t="e">
        <f>(((BC193/(8760*BD193))*BB193)*'Summary Sheet'!$F$6)</f>
        <v>#DIV/0!</v>
      </c>
      <c r="BN193">
        <v>2011</v>
      </c>
      <c r="BO193" s="10">
        <f t="shared" si="40"/>
        <v>116210.16</v>
      </c>
      <c r="BP193" s="10">
        <f>'Summary Sheet'!$B$13-'Summary Sheet'!$B$14</f>
        <v>0</v>
      </c>
      <c r="BQ193" s="10">
        <f>'Summary Sheet'!$B$34</f>
        <v>0</v>
      </c>
      <c r="BS193" s="10" t="e">
        <f>(((BP193/(8760*BQ193))*BO193)*'Summary Sheet'!G$6)</f>
        <v>#DIV/0!</v>
      </c>
    </row>
    <row r="194" spans="1:71" ht="12.75">
      <c r="A194">
        <v>2012</v>
      </c>
      <c r="B194" s="10">
        <f>'Capacity Prices'!C9*1000</f>
        <v>118014.72</v>
      </c>
      <c r="C194" s="10">
        <f>'Summary Sheet'!$B$13-'Summary Sheet'!$B$14</f>
        <v>0</v>
      </c>
      <c r="D194" s="10">
        <f>'Summary Sheet'!$B$34</f>
        <v>0</v>
      </c>
      <c r="F194" s="10" t="e">
        <f>(((C194/(8760*D194))*B194)*'Summary Sheet'!$B$6)</f>
        <v>#DIV/0!</v>
      </c>
      <c r="N194">
        <v>2012</v>
      </c>
      <c r="O194" s="10">
        <f t="shared" si="36"/>
        <v>118014.72</v>
      </c>
      <c r="P194" s="10">
        <f>'Summary Sheet'!$B$13-'Summary Sheet'!$B$14</f>
        <v>0</v>
      </c>
      <c r="Q194" s="10">
        <f>'Summary Sheet'!$B$34</f>
        <v>0</v>
      </c>
      <c r="S194" s="10" t="e">
        <f>(((P194/(8760*Q194))*O194)*'Summary Sheet'!$C$6)</f>
        <v>#DIV/0!</v>
      </c>
      <c r="AA194">
        <v>2012</v>
      </c>
      <c r="AB194" s="10">
        <f t="shared" si="37"/>
        <v>118014.72</v>
      </c>
      <c r="AC194" s="10">
        <f>'Summary Sheet'!$B$13-'Summary Sheet'!$B$14</f>
        <v>0</v>
      </c>
      <c r="AD194" s="10">
        <f>'Summary Sheet'!$B$34</f>
        <v>0</v>
      </c>
      <c r="AF194" s="10" t="e">
        <f>(((AC194/(8760*AD194))*AB194)*'Summary Sheet'!$D$6)</f>
        <v>#DIV/0!</v>
      </c>
      <c r="AN194">
        <v>2012</v>
      </c>
      <c r="AO194" s="10">
        <f t="shared" si="38"/>
        <v>118014.72</v>
      </c>
      <c r="AP194" s="10">
        <f>'Summary Sheet'!$B$13-'Summary Sheet'!$B$14</f>
        <v>0</v>
      </c>
      <c r="AQ194" s="10">
        <f>'Summary Sheet'!$B$34</f>
        <v>0</v>
      </c>
      <c r="AS194" s="10" t="e">
        <f>(((AP194/(8760*AQ194))*AO194)*'Summary Sheet'!$E$6)</f>
        <v>#DIV/0!</v>
      </c>
      <c r="BA194">
        <v>2012</v>
      </c>
      <c r="BB194" s="10">
        <f t="shared" si="39"/>
        <v>118014.72</v>
      </c>
      <c r="BC194" s="10">
        <f>'Summary Sheet'!$B$13-'Summary Sheet'!$B$14</f>
        <v>0</v>
      </c>
      <c r="BD194" s="10">
        <f>'Summary Sheet'!$B$34</f>
        <v>0</v>
      </c>
      <c r="BF194" s="10" t="e">
        <f>(((BC194/(8760*BD194))*BB194)*'Summary Sheet'!$F$6)</f>
        <v>#DIV/0!</v>
      </c>
      <c r="BN194">
        <v>2012</v>
      </c>
      <c r="BO194" s="10">
        <f t="shared" si="40"/>
        <v>118014.72</v>
      </c>
      <c r="BP194" s="10">
        <f>'Summary Sheet'!$B$13-'Summary Sheet'!$B$14</f>
        <v>0</v>
      </c>
      <c r="BQ194" s="10">
        <f>'Summary Sheet'!$B$34</f>
        <v>0</v>
      </c>
      <c r="BS194" s="10" t="e">
        <f>(((BP194/(8760*BQ194))*BO194)*'Summary Sheet'!G$6)</f>
        <v>#DIV/0!</v>
      </c>
    </row>
    <row r="195" spans="1:71" ht="12.75">
      <c r="A195">
        <v>2013</v>
      </c>
      <c r="B195" s="10">
        <f>'Capacity Prices'!C10*1000</f>
        <v>119819.28</v>
      </c>
      <c r="C195" s="10">
        <f>'Summary Sheet'!$B$13-'Summary Sheet'!$B$14</f>
        <v>0</v>
      </c>
      <c r="D195" s="10">
        <f>'Summary Sheet'!$B$34</f>
        <v>0</v>
      </c>
      <c r="F195" s="10" t="e">
        <f>(((C195/(8760*D195))*B195)*'Summary Sheet'!$B$6)</f>
        <v>#DIV/0!</v>
      </c>
      <c r="N195">
        <v>2013</v>
      </c>
      <c r="O195" s="10">
        <f t="shared" si="36"/>
        <v>119819.28</v>
      </c>
      <c r="P195" s="10">
        <f>'Summary Sheet'!$B$13-'Summary Sheet'!$B$14</f>
        <v>0</v>
      </c>
      <c r="Q195" s="10">
        <f>'Summary Sheet'!$B$34</f>
        <v>0</v>
      </c>
      <c r="S195" s="10" t="e">
        <f>(((P195/(8760*Q195))*O195)*'Summary Sheet'!$C$6)</f>
        <v>#DIV/0!</v>
      </c>
      <c r="AA195">
        <v>2013</v>
      </c>
      <c r="AB195" s="10">
        <f t="shared" si="37"/>
        <v>119819.28</v>
      </c>
      <c r="AC195" s="10">
        <f>'Summary Sheet'!$B$13-'Summary Sheet'!$B$14</f>
        <v>0</v>
      </c>
      <c r="AD195" s="10">
        <f>'Summary Sheet'!$B$34</f>
        <v>0</v>
      </c>
      <c r="AF195" s="10" t="e">
        <f>(((AC195/(8760*AD195))*AB195)*'Summary Sheet'!$D$6)</f>
        <v>#DIV/0!</v>
      </c>
      <c r="AN195">
        <v>2013</v>
      </c>
      <c r="AO195" s="10">
        <f t="shared" si="38"/>
        <v>119819.28</v>
      </c>
      <c r="AP195" s="10">
        <f>'Summary Sheet'!$B$13-'Summary Sheet'!$B$14</f>
        <v>0</v>
      </c>
      <c r="AQ195" s="10">
        <f>'Summary Sheet'!$B$34</f>
        <v>0</v>
      </c>
      <c r="AS195" s="10" t="e">
        <f>(((AP195/(8760*AQ195))*AO195)*'Summary Sheet'!$E$6)</f>
        <v>#DIV/0!</v>
      </c>
      <c r="BA195">
        <v>2013</v>
      </c>
      <c r="BB195" s="10">
        <f t="shared" si="39"/>
        <v>119819.28</v>
      </c>
      <c r="BC195" s="10">
        <f>'Summary Sheet'!$B$13-'Summary Sheet'!$B$14</f>
        <v>0</v>
      </c>
      <c r="BD195" s="10">
        <f>'Summary Sheet'!$B$34</f>
        <v>0</v>
      </c>
      <c r="BF195" s="10" t="e">
        <f>(((BC195/(8760*BD195))*BB195)*'Summary Sheet'!$F$6)</f>
        <v>#DIV/0!</v>
      </c>
      <c r="BN195">
        <v>2013</v>
      </c>
      <c r="BO195" s="10">
        <f t="shared" si="40"/>
        <v>119819.28</v>
      </c>
      <c r="BP195" s="10">
        <f>'Summary Sheet'!$B$13-'Summary Sheet'!$B$14</f>
        <v>0</v>
      </c>
      <c r="BQ195" s="10">
        <f>'Summary Sheet'!$B$34</f>
        <v>0</v>
      </c>
      <c r="BS195" s="10" t="e">
        <f>(((BP195/(8760*BQ195))*BO195)*'Summary Sheet'!G$6)</f>
        <v>#DIV/0!</v>
      </c>
    </row>
    <row r="196" spans="1:71" ht="12.75">
      <c r="A196">
        <v>2014</v>
      </c>
      <c r="B196" s="10">
        <f>'Capacity Prices'!C11*1000</f>
        <v>121623.83999999998</v>
      </c>
      <c r="C196" s="10">
        <f>'Summary Sheet'!$B$13-'Summary Sheet'!$B$14</f>
        <v>0</v>
      </c>
      <c r="D196" s="10">
        <f>'Summary Sheet'!$B$34</f>
        <v>0</v>
      </c>
      <c r="F196" s="10" t="e">
        <f>(((C196/(8760*D196))*B196)*'Summary Sheet'!$B$6)</f>
        <v>#DIV/0!</v>
      </c>
      <c r="N196">
        <v>2014</v>
      </c>
      <c r="O196" s="10">
        <f t="shared" si="36"/>
        <v>121623.83999999998</v>
      </c>
      <c r="P196" s="10">
        <f>'Summary Sheet'!$B$13-'Summary Sheet'!$B$14</f>
        <v>0</v>
      </c>
      <c r="Q196" s="10">
        <f>'Summary Sheet'!$B$34</f>
        <v>0</v>
      </c>
      <c r="S196" s="10" t="e">
        <f>(((P196/(8760*Q196))*O196)*'Summary Sheet'!$C$6)</f>
        <v>#DIV/0!</v>
      </c>
      <c r="AA196">
        <v>2014</v>
      </c>
      <c r="AB196" s="10">
        <f t="shared" si="37"/>
        <v>121623.83999999998</v>
      </c>
      <c r="AC196" s="10">
        <f>'Summary Sheet'!$B$13-'Summary Sheet'!$B$14</f>
        <v>0</v>
      </c>
      <c r="AD196" s="10">
        <f>'Summary Sheet'!$B$34</f>
        <v>0</v>
      </c>
      <c r="AF196" s="10" t="e">
        <f>(((AC196/(8760*AD196))*AB196)*'Summary Sheet'!$D$6)</f>
        <v>#DIV/0!</v>
      </c>
      <c r="AN196">
        <v>2014</v>
      </c>
      <c r="AO196" s="10">
        <f t="shared" si="38"/>
        <v>121623.83999999998</v>
      </c>
      <c r="AP196" s="10">
        <f>'Summary Sheet'!$B$13-'Summary Sheet'!$B$14</f>
        <v>0</v>
      </c>
      <c r="AQ196" s="10">
        <f>'Summary Sheet'!$B$34</f>
        <v>0</v>
      </c>
      <c r="AS196" s="10" t="e">
        <f>(((AP196/(8760*AQ196))*AO196)*'Summary Sheet'!$E$6)</f>
        <v>#DIV/0!</v>
      </c>
      <c r="BA196">
        <v>2014</v>
      </c>
      <c r="BB196" s="10">
        <f t="shared" si="39"/>
        <v>121623.83999999998</v>
      </c>
      <c r="BC196" s="10">
        <f>'Summary Sheet'!$B$13-'Summary Sheet'!$B$14</f>
        <v>0</v>
      </c>
      <c r="BD196" s="10">
        <f>'Summary Sheet'!$B$34</f>
        <v>0</v>
      </c>
      <c r="BF196" s="10" t="e">
        <f>(((BC196/(8760*BD196))*BB196)*'Summary Sheet'!$F$6)</f>
        <v>#DIV/0!</v>
      </c>
      <c r="BN196">
        <v>2014</v>
      </c>
      <c r="BO196" s="10">
        <f t="shared" si="40"/>
        <v>121623.83999999998</v>
      </c>
      <c r="BP196" s="10">
        <f>'Summary Sheet'!$B$13-'Summary Sheet'!$B$14</f>
        <v>0</v>
      </c>
      <c r="BQ196" s="10">
        <f>'Summary Sheet'!$B$34</f>
        <v>0</v>
      </c>
      <c r="BS196" s="10" t="e">
        <f>(((BP196/(8760*BQ196))*BO196)*'Summary Sheet'!G$6)</f>
        <v>#DIV/0!</v>
      </c>
    </row>
    <row r="197" spans="1:71" ht="12.75">
      <c r="A197">
        <v>2015</v>
      </c>
      <c r="B197" s="10">
        <f>'Capacity Prices'!C12*1000</f>
        <v>123428.4</v>
      </c>
      <c r="C197" s="10">
        <f>'Summary Sheet'!$B$13-'Summary Sheet'!$B$14</f>
        <v>0</v>
      </c>
      <c r="D197" s="10">
        <f>'Summary Sheet'!$B$34</f>
        <v>0</v>
      </c>
      <c r="F197" s="10" t="e">
        <f>(((C197/(8760*D197))*B197)*'Summary Sheet'!$B$6)</f>
        <v>#DIV/0!</v>
      </c>
      <c r="N197">
        <v>2015</v>
      </c>
      <c r="O197" s="10">
        <f t="shared" si="36"/>
        <v>123428.4</v>
      </c>
      <c r="P197" s="10">
        <f>'Summary Sheet'!$B$13-'Summary Sheet'!$B$14</f>
        <v>0</v>
      </c>
      <c r="Q197" s="10">
        <f>'Summary Sheet'!$B$34</f>
        <v>0</v>
      </c>
      <c r="S197" s="10" t="e">
        <f>(((P197/(8760*Q197))*O197)*'Summary Sheet'!$C$6)</f>
        <v>#DIV/0!</v>
      </c>
      <c r="AA197">
        <v>2015</v>
      </c>
      <c r="AB197" s="10">
        <f t="shared" si="37"/>
        <v>123428.4</v>
      </c>
      <c r="AC197" s="10">
        <f>'Summary Sheet'!$B$13-'Summary Sheet'!$B$14</f>
        <v>0</v>
      </c>
      <c r="AD197" s="10">
        <f>'Summary Sheet'!$B$34</f>
        <v>0</v>
      </c>
      <c r="AF197" s="10" t="e">
        <f>(((AC197/(8760*AD197))*AB197)*'Summary Sheet'!$D$6)</f>
        <v>#DIV/0!</v>
      </c>
      <c r="AN197">
        <v>2015</v>
      </c>
      <c r="AO197" s="10">
        <f t="shared" si="38"/>
        <v>123428.4</v>
      </c>
      <c r="AP197" s="10">
        <f>'Summary Sheet'!$B$13-'Summary Sheet'!$B$14</f>
        <v>0</v>
      </c>
      <c r="AQ197" s="10">
        <f>'Summary Sheet'!$B$34</f>
        <v>0</v>
      </c>
      <c r="AS197" s="10" t="e">
        <f>(((AP197/(8760*AQ197))*AO197)*'Summary Sheet'!$E$6)</f>
        <v>#DIV/0!</v>
      </c>
      <c r="BA197">
        <v>2015</v>
      </c>
      <c r="BB197" s="10">
        <f t="shared" si="39"/>
        <v>123428.4</v>
      </c>
      <c r="BC197" s="10">
        <f>'Summary Sheet'!$B$13-'Summary Sheet'!$B$14</f>
        <v>0</v>
      </c>
      <c r="BD197" s="10">
        <f>'Summary Sheet'!$B$34</f>
        <v>0</v>
      </c>
      <c r="BF197" s="10" t="e">
        <f>(((BC197/(8760*BD197))*BB197)*'Summary Sheet'!$F$6)</f>
        <v>#DIV/0!</v>
      </c>
      <c r="BN197">
        <v>2015</v>
      </c>
      <c r="BO197" s="10">
        <f t="shared" si="40"/>
        <v>123428.4</v>
      </c>
      <c r="BP197" s="10">
        <f>'Summary Sheet'!$B$13-'Summary Sheet'!$B$14</f>
        <v>0</v>
      </c>
      <c r="BQ197" s="10">
        <f>'Summary Sheet'!$B$34</f>
        <v>0</v>
      </c>
      <c r="BS197" s="10" t="e">
        <f>(((BP197/(8760*BQ197))*BO197)*'Summary Sheet'!G$6)</f>
        <v>#DIV/0!</v>
      </c>
    </row>
    <row r="198" spans="1:71" ht="12.75">
      <c r="A198">
        <v>2016</v>
      </c>
      <c r="B198" s="10">
        <f>'Capacity Prices'!C13*1000</f>
        <v>131662.8</v>
      </c>
      <c r="C198" s="10">
        <f>'Summary Sheet'!$B$13-'Summary Sheet'!$B$14</f>
        <v>0</v>
      </c>
      <c r="D198" s="10">
        <f>'Summary Sheet'!$B$34</f>
        <v>0</v>
      </c>
      <c r="F198" s="10" t="e">
        <f>(((C198/(8760*D198))*B198)*'Summary Sheet'!$B$6)</f>
        <v>#DIV/0!</v>
      </c>
      <c r="N198">
        <v>2016</v>
      </c>
      <c r="O198" s="10">
        <f t="shared" si="36"/>
        <v>131662.8</v>
      </c>
      <c r="P198" s="10">
        <f>'Summary Sheet'!$B$13-'Summary Sheet'!$B$14</f>
        <v>0</v>
      </c>
      <c r="Q198" s="10">
        <f>'Summary Sheet'!$B$34</f>
        <v>0</v>
      </c>
      <c r="S198" s="10" t="e">
        <f>(((P198/(8760*Q198))*O198)*'Summary Sheet'!$C$6)</f>
        <v>#DIV/0!</v>
      </c>
      <c r="AA198">
        <v>2016</v>
      </c>
      <c r="AB198" s="10">
        <f t="shared" si="37"/>
        <v>131662.8</v>
      </c>
      <c r="AC198" s="10">
        <f>'Summary Sheet'!$B$13-'Summary Sheet'!$B$14</f>
        <v>0</v>
      </c>
      <c r="AD198" s="10">
        <f>'Summary Sheet'!$B$34</f>
        <v>0</v>
      </c>
      <c r="AF198" s="10" t="e">
        <f>(((AC198/(8760*AD198))*AB198)*'Summary Sheet'!$D$6)</f>
        <v>#DIV/0!</v>
      </c>
      <c r="AN198">
        <v>2016</v>
      </c>
      <c r="AO198" s="10">
        <f t="shared" si="38"/>
        <v>131662.8</v>
      </c>
      <c r="AP198" s="10">
        <f>'Summary Sheet'!$B$13-'Summary Sheet'!$B$14</f>
        <v>0</v>
      </c>
      <c r="AQ198" s="10">
        <f>'Summary Sheet'!$B$34</f>
        <v>0</v>
      </c>
      <c r="AS198" s="10" t="e">
        <f>(((AP198/(8760*AQ198))*AO198)*'Summary Sheet'!$E$6)</f>
        <v>#DIV/0!</v>
      </c>
      <c r="BA198">
        <v>2016</v>
      </c>
      <c r="BB198" s="10">
        <f t="shared" si="39"/>
        <v>131662.8</v>
      </c>
      <c r="BC198" s="10">
        <f>'Summary Sheet'!$B$13-'Summary Sheet'!$B$14</f>
        <v>0</v>
      </c>
      <c r="BD198" s="10">
        <f>'Summary Sheet'!$B$34</f>
        <v>0</v>
      </c>
      <c r="BF198" s="10" t="e">
        <f>(((BC198/(8760*BD198))*BB198)*'Summary Sheet'!$F$6)</f>
        <v>#DIV/0!</v>
      </c>
      <c r="BN198">
        <v>2016</v>
      </c>
      <c r="BO198" s="10">
        <f t="shared" si="40"/>
        <v>131662.8</v>
      </c>
      <c r="BP198" s="10">
        <f>'Summary Sheet'!$B$13-'Summary Sheet'!$B$14</f>
        <v>0</v>
      </c>
      <c r="BQ198" s="10">
        <f>'Summary Sheet'!$B$34</f>
        <v>0</v>
      </c>
      <c r="BS198" s="10" t="e">
        <f>(((BP198/(8760*BQ198))*BO198)*'Summary Sheet'!G$6)</f>
        <v>#DIV/0!</v>
      </c>
    </row>
    <row r="199" spans="1:71" ht="12.75">
      <c r="A199">
        <v>2017</v>
      </c>
      <c r="B199" s="10">
        <f>'Capacity Prices'!C14*1000</f>
        <v>139897.19999999998</v>
      </c>
      <c r="C199" s="10">
        <f>'Summary Sheet'!$B$13-'Summary Sheet'!$B$14</f>
        <v>0</v>
      </c>
      <c r="D199" s="10">
        <f>'Summary Sheet'!$B$34</f>
        <v>0</v>
      </c>
      <c r="F199" s="10" t="e">
        <f>(((C199/(8760*D199))*B199)*'Summary Sheet'!$B$6)</f>
        <v>#DIV/0!</v>
      </c>
      <c r="N199">
        <v>2017</v>
      </c>
      <c r="O199" s="10">
        <f t="shared" si="36"/>
        <v>139897.19999999998</v>
      </c>
      <c r="P199" s="10">
        <f>'Summary Sheet'!$B$13-'Summary Sheet'!$B$14</f>
        <v>0</v>
      </c>
      <c r="Q199" s="10">
        <f>'Summary Sheet'!$B$34</f>
        <v>0</v>
      </c>
      <c r="S199" s="10" t="e">
        <f>(((P199/(8760*Q199))*O199)*'Summary Sheet'!$C$6)</f>
        <v>#DIV/0!</v>
      </c>
      <c r="AA199">
        <v>2017</v>
      </c>
      <c r="AB199" s="10">
        <f t="shared" si="37"/>
        <v>139897.19999999998</v>
      </c>
      <c r="AC199" s="10">
        <f>'Summary Sheet'!$B$13-'Summary Sheet'!$B$14</f>
        <v>0</v>
      </c>
      <c r="AD199" s="10">
        <f>'Summary Sheet'!$B$34</f>
        <v>0</v>
      </c>
      <c r="AF199" s="10" t="e">
        <f>(((AC199/(8760*AD199))*AB199)*'Summary Sheet'!$D$6)</f>
        <v>#DIV/0!</v>
      </c>
      <c r="AN199">
        <v>2017</v>
      </c>
      <c r="AO199" s="10">
        <f t="shared" si="38"/>
        <v>139897.19999999998</v>
      </c>
      <c r="AP199" s="10">
        <f>'Summary Sheet'!$B$13-'Summary Sheet'!$B$14</f>
        <v>0</v>
      </c>
      <c r="AQ199" s="10">
        <f>'Summary Sheet'!$B$34</f>
        <v>0</v>
      </c>
      <c r="AS199" s="10" t="e">
        <f>(((AP199/(8760*AQ199))*AO199)*'Summary Sheet'!$E$6)</f>
        <v>#DIV/0!</v>
      </c>
      <c r="BA199">
        <v>2017</v>
      </c>
      <c r="BB199" s="10">
        <f t="shared" si="39"/>
        <v>139897.19999999998</v>
      </c>
      <c r="BC199" s="10">
        <f>'Summary Sheet'!$B$13-'Summary Sheet'!$B$14</f>
        <v>0</v>
      </c>
      <c r="BD199" s="10">
        <f>'Summary Sheet'!$B$34</f>
        <v>0</v>
      </c>
      <c r="BF199" s="10" t="e">
        <f>(((BC199/(8760*BD199))*BB199)*'Summary Sheet'!$F$6)</f>
        <v>#DIV/0!</v>
      </c>
      <c r="BN199">
        <v>2017</v>
      </c>
      <c r="BO199" s="10">
        <f t="shared" si="40"/>
        <v>139897.19999999998</v>
      </c>
      <c r="BP199" s="10">
        <f>'Summary Sheet'!$B$13-'Summary Sheet'!$B$14</f>
        <v>0</v>
      </c>
      <c r="BQ199" s="10">
        <f>'Summary Sheet'!$B$34</f>
        <v>0</v>
      </c>
      <c r="BS199" s="10" t="e">
        <f>(((BP199/(8760*BQ199))*BO199)*'Summary Sheet'!G$6)</f>
        <v>#DIV/0!</v>
      </c>
    </row>
    <row r="200" spans="1:71" ht="12.75">
      <c r="A200">
        <v>2018</v>
      </c>
      <c r="B200" s="10">
        <f>'Capacity Prices'!C15*1000</f>
        <v>148131.6</v>
      </c>
      <c r="C200" s="10">
        <f>'Summary Sheet'!$B$13-'Summary Sheet'!$B$14</f>
        <v>0</v>
      </c>
      <c r="D200" s="10">
        <f>'Summary Sheet'!$B$34</f>
        <v>0</v>
      </c>
      <c r="F200" s="10" t="e">
        <f>(((C200/(8760*D200))*B200)*'Summary Sheet'!$B$6)</f>
        <v>#DIV/0!</v>
      </c>
      <c r="N200">
        <v>2018</v>
      </c>
      <c r="O200" s="10">
        <f t="shared" si="36"/>
        <v>148131.6</v>
      </c>
      <c r="P200" s="10">
        <f>'Summary Sheet'!$B$13-'Summary Sheet'!$B$14</f>
        <v>0</v>
      </c>
      <c r="Q200" s="10">
        <f>'Summary Sheet'!$B$34</f>
        <v>0</v>
      </c>
      <c r="S200" s="10" t="e">
        <f>(((P200/(8760*Q200))*O200)*'Summary Sheet'!$C$6)</f>
        <v>#DIV/0!</v>
      </c>
      <c r="AA200">
        <v>2018</v>
      </c>
      <c r="AB200" s="10">
        <f t="shared" si="37"/>
        <v>148131.6</v>
      </c>
      <c r="AC200" s="10">
        <f>'Summary Sheet'!$B$13-'Summary Sheet'!$B$14</f>
        <v>0</v>
      </c>
      <c r="AD200" s="10">
        <f>'Summary Sheet'!$B$34</f>
        <v>0</v>
      </c>
      <c r="AF200" s="10" t="e">
        <f>(((AC200/(8760*AD200))*AB200)*'Summary Sheet'!$D$6)</f>
        <v>#DIV/0!</v>
      </c>
      <c r="AN200">
        <v>2018</v>
      </c>
      <c r="AO200" s="10">
        <f t="shared" si="38"/>
        <v>148131.6</v>
      </c>
      <c r="AP200" s="10">
        <f>'Summary Sheet'!$B$13-'Summary Sheet'!$B$14</f>
        <v>0</v>
      </c>
      <c r="AQ200" s="10">
        <f>'Summary Sheet'!$B$34</f>
        <v>0</v>
      </c>
      <c r="AS200" s="10" t="e">
        <f>(((AP200/(8760*AQ200))*AO200)*'Summary Sheet'!$E$6)</f>
        <v>#DIV/0!</v>
      </c>
      <c r="BA200">
        <v>2018</v>
      </c>
      <c r="BB200" s="10">
        <f t="shared" si="39"/>
        <v>148131.6</v>
      </c>
      <c r="BC200" s="10">
        <f>'Summary Sheet'!$B$13-'Summary Sheet'!$B$14</f>
        <v>0</v>
      </c>
      <c r="BD200" s="10">
        <f>'Summary Sheet'!$B$34</f>
        <v>0</v>
      </c>
      <c r="BF200" s="10" t="e">
        <f>(((BC200/(8760*BD200))*BB200)*'Summary Sheet'!$F$6)</f>
        <v>#DIV/0!</v>
      </c>
      <c r="BN200">
        <v>2018</v>
      </c>
      <c r="BO200" s="10">
        <f t="shared" si="40"/>
        <v>148131.6</v>
      </c>
      <c r="BP200" s="10">
        <f>'Summary Sheet'!$B$13-'Summary Sheet'!$B$14</f>
        <v>0</v>
      </c>
      <c r="BQ200" s="10">
        <f>'Summary Sheet'!$B$34</f>
        <v>0</v>
      </c>
      <c r="BS200" s="10" t="e">
        <f>(((BP200/(8760*BQ200))*BO200)*'Summary Sheet'!G$6)</f>
        <v>#DIV/0!</v>
      </c>
    </row>
    <row r="201" spans="1:71" ht="12.75">
      <c r="A201">
        <v>2019</v>
      </c>
      <c r="B201" s="10">
        <f>'Capacity Prices'!C16*1000</f>
        <v>156366</v>
      </c>
      <c r="C201" s="10">
        <f>'Summary Sheet'!$B$13-'Summary Sheet'!$B$14</f>
        <v>0</v>
      </c>
      <c r="D201" s="10">
        <f>'Summary Sheet'!$B$34</f>
        <v>0</v>
      </c>
      <c r="F201" s="10" t="e">
        <f>(((C201/(8760*D201))*B201)*'Summary Sheet'!$B$6)</f>
        <v>#DIV/0!</v>
      </c>
      <c r="N201">
        <v>2019</v>
      </c>
      <c r="O201" s="10">
        <f t="shared" si="36"/>
        <v>156366</v>
      </c>
      <c r="P201" s="10">
        <f>'Summary Sheet'!$B$13-'Summary Sheet'!$B$14</f>
        <v>0</v>
      </c>
      <c r="Q201" s="10">
        <f>'Summary Sheet'!$B$34</f>
        <v>0</v>
      </c>
      <c r="S201" s="10" t="e">
        <f>(((P201/(8760*Q201))*O201)*'Summary Sheet'!$C$6)</f>
        <v>#DIV/0!</v>
      </c>
      <c r="AA201">
        <v>2019</v>
      </c>
      <c r="AB201" s="10">
        <f t="shared" si="37"/>
        <v>156366</v>
      </c>
      <c r="AC201" s="10">
        <f>'Summary Sheet'!$B$13-'Summary Sheet'!$B$14</f>
        <v>0</v>
      </c>
      <c r="AD201" s="10">
        <f>'Summary Sheet'!$B$34</f>
        <v>0</v>
      </c>
      <c r="AF201" s="10" t="e">
        <f>(((AC201/(8760*AD201))*AB201)*'Summary Sheet'!$D$6)</f>
        <v>#DIV/0!</v>
      </c>
      <c r="AN201">
        <v>2019</v>
      </c>
      <c r="AO201" s="10">
        <f t="shared" si="38"/>
        <v>156366</v>
      </c>
      <c r="AP201" s="10">
        <f>'Summary Sheet'!$B$13-'Summary Sheet'!$B$14</f>
        <v>0</v>
      </c>
      <c r="AQ201" s="10">
        <f>'Summary Sheet'!$B$34</f>
        <v>0</v>
      </c>
      <c r="AS201" s="10" t="e">
        <f>(((AP201/(8760*AQ201))*AO201)*'Summary Sheet'!$E$6)</f>
        <v>#DIV/0!</v>
      </c>
      <c r="BA201">
        <v>2019</v>
      </c>
      <c r="BB201" s="10">
        <f t="shared" si="39"/>
        <v>156366</v>
      </c>
      <c r="BC201" s="10">
        <f>'Summary Sheet'!$B$13-'Summary Sheet'!$B$14</f>
        <v>0</v>
      </c>
      <c r="BD201" s="10">
        <f>'Summary Sheet'!$B$34</f>
        <v>0</v>
      </c>
      <c r="BF201" s="10" t="e">
        <f>(((BC201/(8760*BD201))*BB201)*'Summary Sheet'!$F$6)</f>
        <v>#DIV/0!</v>
      </c>
      <c r="BN201">
        <v>2019</v>
      </c>
      <c r="BO201" s="10">
        <f t="shared" si="40"/>
        <v>156366</v>
      </c>
      <c r="BP201" s="10">
        <f>'Summary Sheet'!$B$13-'Summary Sheet'!$B$14</f>
        <v>0</v>
      </c>
      <c r="BQ201" s="10">
        <f>'Summary Sheet'!$B$34</f>
        <v>0</v>
      </c>
      <c r="BS201" s="10" t="e">
        <f>(((BP201/(8760*BQ201))*BO201)*'Summary Sheet'!G$6)</f>
        <v>#DIV/0!</v>
      </c>
    </row>
    <row r="202" spans="1:71" ht="12.75">
      <c r="A202">
        <v>2020</v>
      </c>
      <c r="B202" s="10">
        <f>'Capacity Prices'!C17*1000</f>
        <v>164600.4</v>
      </c>
      <c r="C202" s="10">
        <f>'Summary Sheet'!$B$13-'Summary Sheet'!$B$14</f>
        <v>0</v>
      </c>
      <c r="D202" s="10">
        <f>'Summary Sheet'!$B$34</f>
        <v>0</v>
      </c>
      <c r="F202" s="10" t="e">
        <f>(((C202/(8760*D202))*B202)*'Summary Sheet'!$B$6)</f>
        <v>#DIV/0!</v>
      </c>
      <c r="N202">
        <v>2020</v>
      </c>
      <c r="O202" s="10">
        <f t="shared" si="36"/>
        <v>164600.4</v>
      </c>
      <c r="P202" s="10">
        <f>'Summary Sheet'!$B$13-'Summary Sheet'!$B$14</f>
        <v>0</v>
      </c>
      <c r="Q202" s="10">
        <f>'Summary Sheet'!$B$34</f>
        <v>0</v>
      </c>
      <c r="S202" s="10" t="e">
        <f>(((P202/(8760*Q202))*O202)*'Summary Sheet'!$C$6)</f>
        <v>#DIV/0!</v>
      </c>
      <c r="AA202">
        <v>2020</v>
      </c>
      <c r="AB202" s="10">
        <f t="shared" si="37"/>
        <v>164600.4</v>
      </c>
      <c r="AC202" s="10">
        <f>'Summary Sheet'!$B$13-'Summary Sheet'!$B$14</f>
        <v>0</v>
      </c>
      <c r="AD202" s="10">
        <f>'Summary Sheet'!$B$34</f>
        <v>0</v>
      </c>
      <c r="AF202" s="10" t="e">
        <f>(((AC202/(8760*AD202))*AB202)*'Summary Sheet'!$D$6)</f>
        <v>#DIV/0!</v>
      </c>
      <c r="AN202">
        <v>2020</v>
      </c>
      <c r="AO202" s="10">
        <f t="shared" si="38"/>
        <v>164600.4</v>
      </c>
      <c r="AP202" s="10">
        <f>'Summary Sheet'!$B$13-'Summary Sheet'!$B$14</f>
        <v>0</v>
      </c>
      <c r="AQ202" s="10">
        <f>'Summary Sheet'!$B$34</f>
        <v>0</v>
      </c>
      <c r="AS202" s="10" t="e">
        <f>(((AP202/(8760*AQ202))*AO202)*'Summary Sheet'!$E$6)</f>
        <v>#DIV/0!</v>
      </c>
      <c r="BA202">
        <v>2020</v>
      </c>
      <c r="BB202" s="10">
        <f t="shared" si="39"/>
        <v>164600.4</v>
      </c>
      <c r="BC202" s="10">
        <f>'Summary Sheet'!$B$13-'Summary Sheet'!$B$14</f>
        <v>0</v>
      </c>
      <c r="BD202" s="10">
        <f>'Summary Sheet'!$B$34</f>
        <v>0</v>
      </c>
      <c r="BF202" s="10" t="e">
        <f>(((BC202/(8760*BD202))*BB202)*'Summary Sheet'!$F$6)</f>
        <v>#DIV/0!</v>
      </c>
      <c r="BN202">
        <v>2020</v>
      </c>
      <c r="BO202" s="10">
        <f t="shared" si="40"/>
        <v>164600.4</v>
      </c>
      <c r="BP202" s="10">
        <f>'Summary Sheet'!$B$13-'Summary Sheet'!$B$14</f>
        <v>0</v>
      </c>
      <c r="BQ202" s="10">
        <f>'Summary Sheet'!$B$34</f>
        <v>0</v>
      </c>
      <c r="BS202" s="10" t="e">
        <f>(((BP202/(8760*BQ202))*BO202)*'Summary Sheet'!G$6)</f>
        <v>#DIV/0!</v>
      </c>
    </row>
    <row r="203" spans="1:71" ht="12.75">
      <c r="A203">
        <v>2021</v>
      </c>
      <c r="B203" s="10">
        <f>'Capacity Prices'!C18*1000</f>
        <v>172834.80000000002</v>
      </c>
      <c r="C203" s="10">
        <f>'Summary Sheet'!$B$13-'Summary Sheet'!$B$14</f>
        <v>0</v>
      </c>
      <c r="D203" s="10">
        <f>'Summary Sheet'!$B$34</f>
        <v>0</v>
      </c>
      <c r="F203" s="10" t="e">
        <f>(((C203/(8760*D203))*B203)*'Summary Sheet'!$B$6)</f>
        <v>#DIV/0!</v>
      </c>
      <c r="N203">
        <v>2021</v>
      </c>
      <c r="O203" s="10">
        <f t="shared" si="36"/>
        <v>172834.80000000002</v>
      </c>
      <c r="P203" s="10">
        <f>'Summary Sheet'!$B$13-'Summary Sheet'!$B$14</f>
        <v>0</v>
      </c>
      <c r="Q203" s="10">
        <f>'Summary Sheet'!$B$34</f>
        <v>0</v>
      </c>
      <c r="S203" s="10" t="e">
        <f>(((P203/(8760*Q203))*O203)*'Summary Sheet'!$C$6)</f>
        <v>#DIV/0!</v>
      </c>
      <c r="AA203">
        <v>2021</v>
      </c>
      <c r="AB203" s="10">
        <f t="shared" si="37"/>
        <v>172834.80000000002</v>
      </c>
      <c r="AC203" s="10">
        <f>'Summary Sheet'!$B$13-'Summary Sheet'!$B$14</f>
        <v>0</v>
      </c>
      <c r="AD203" s="10">
        <f>'Summary Sheet'!$B$34</f>
        <v>0</v>
      </c>
      <c r="AF203" s="10" t="e">
        <f>(((AC203/(8760*AD203))*AB203)*'Summary Sheet'!$D$6)</f>
        <v>#DIV/0!</v>
      </c>
      <c r="AN203">
        <v>2021</v>
      </c>
      <c r="AO203" s="10">
        <f t="shared" si="38"/>
        <v>172834.80000000002</v>
      </c>
      <c r="AP203" s="10">
        <f>'Summary Sheet'!$B$13-'Summary Sheet'!$B$14</f>
        <v>0</v>
      </c>
      <c r="AQ203" s="10">
        <f>'Summary Sheet'!$B$34</f>
        <v>0</v>
      </c>
      <c r="AS203" s="10" t="e">
        <f>(((AP203/(8760*AQ203))*AO203)*'Summary Sheet'!$E$6)</f>
        <v>#DIV/0!</v>
      </c>
      <c r="BA203">
        <v>2021</v>
      </c>
      <c r="BB203" s="10">
        <f t="shared" si="39"/>
        <v>172834.80000000002</v>
      </c>
      <c r="BC203" s="10">
        <f>'Summary Sheet'!$B$13-'Summary Sheet'!$B$14</f>
        <v>0</v>
      </c>
      <c r="BD203" s="10">
        <f>'Summary Sheet'!$B$34</f>
        <v>0</v>
      </c>
      <c r="BF203" s="10" t="e">
        <f>(((BC203/(8760*BD203))*BB203)*'Summary Sheet'!$F$6)</f>
        <v>#DIV/0!</v>
      </c>
      <c r="BN203">
        <v>2021</v>
      </c>
      <c r="BO203" s="10">
        <f t="shared" si="40"/>
        <v>172834.80000000002</v>
      </c>
      <c r="BP203" s="10">
        <f>'Summary Sheet'!$B$13-'Summary Sheet'!$B$14</f>
        <v>0</v>
      </c>
      <c r="BQ203" s="10">
        <f>'Summary Sheet'!$B$34</f>
        <v>0</v>
      </c>
      <c r="BS203" s="10" t="e">
        <f>(((BP203/(8760*BQ203))*BO203)*'Summary Sheet'!G$6)</f>
        <v>#DIV/0!</v>
      </c>
    </row>
    <row r="204" spans="1:71" ht="12.75">
      <c r="A204">
        <v>2022</v>
      </c>
      <c r="B204" s="10">
        <f>'Capacity Prices'!C19*1000</f>
        <v>181069.2</v>
      </c>
      <c r="C204" s="10">
        <f>'Summary Sheet'!$B$13-'Summary Sheet'!$B$14</f>
        <v>0</v>
      </c>
      <c r="D204" s="10">
        <f>'Summary Sheet'!$B$34</f>
        <v>0</v>
      </c>
      <c r="F204" s="10" t="e">
        <f>(((C204/(8760*D204))*B204)*'Summary Sheet'!$B$6)</f>
        <v>#DIV/0!</v>
      </c>
      <c r="N204">
        <v>2022</v>
      </c>
      <c r="O204" s="10">
        <f t="shared" si="36"/>
        <v>181069.2</v>
      </c>
      <c r="P204" s="10">
        <f>'Summary Sheet'!$B$13-'Summary Sheet'!$B$14</f>
        <v>0</v>
      </c>
      <c r="Q204" s="10">
        <f>'Summary Sheet'!$B$34</f>
        <v>0</v>
      </c>
      <c r="S204" s="10" t="e">
        <f>(((P204/(8760*Q204))*O204)*'Summary Sheet'!$C$6)</f>
        <v>#DIV/0!</v>
      </c>
      <c r="AA204">
        <v>2022</v>
      </c>
      <c r="AB204" s="10">
        <f t="shared" si="37"/>
        <v>181069.2</v>
      </c>
      <c r="AC204" s="10">
        <f>'Summary Sheet'!$B$13-'Summary Sheet'!$B$14</f>
        <v>0</v>
      </c>
      <c r="AD204" s="10">
        <f>'Summary Sheet'!$B$34</f>
        <v>0</v>
      </c>
      <c r="AF204" s="10" t="e">
        <f>(((AC204/(8760*AD204))*AB204)*'Summary Sheet'!$D$6)</f>
        <v>#DIV/0!</v>
      </c>
      <c r="AN204">
        <v>2022</v>
      </c>
      <c r="AO204" s="10">
        <f t="shared" si="38"/>
        <v>181069.2</v>
      </c>
      <c r="AP204" s="10">
        <f>'Summary Sheet'!$B$13-'Summary Sheet'!$B$14</f>
        <v>0</v>
      </c>
      <c r="AQ204" s="10">
        <f>'Summary Sheet'!$B$34</f>
        <v>0</v>
      </c>
      <c r="AS204" s="10" t="e">
        <f>(((AP204/(8760*AQ204))*AO204)*'Summary Sheet'!$E$6)</f>
        <v>#DIV/0!</v>
      </c>
      <c r="BA204">
        <v>2022</v>
      </c>
      <c r="BB204" s="10">
        <f t="shared" si="39"/>
        <v>181069.2</v>
      </c>
      <c r="BC204" s="10">
        <f>'Summary Sheet'!$B$13-'Summary Sheet'!$B$14</f>
        <v>0</v>
      </c>
      <c r="BD204" s="10">
        <f>'Summary Sheet'!$B$34</f>
        <v>0</v>
      </c>
      <c r="BF204" s="10" t="e">
        <f>(((BC204/(8760*BD204))*BB204)*'Summary Sheet'!$F$6)</f>
        <v>#DIV/0!</v>
      </c>
      <c r="BN204">
        <v>2022</v>
      </c>
      <c r="BO204" s="10">
        <f t="shared" si="40"/>
        <v>181069.2</v>
      </c>
      <c r="BP204" s="10">
        <f>'Summary Sheet'!$B$13-'Summary Sheet'!$B$14</f>
        <v>0</v>
      </c>
      <c r="BQ204" s="10">
        <f>'Summary Sheet'!$B$34</f>
        <v>0</v>
      </c>
      <c r="BS204" s="10" t="e">
        <f>(((BP204/(8760*BQ204))*BO204)*'Summary Sheet'!G$6)</f>
        <v>#DIV/0!</v>
      </c>
    </row>
    <row r="205" spans="1:71" ht="12.75">
      <c r="A205">
        <v>2023</v>
      </c>
      <c r="B205" s="10">
        <f>'Capacity Prices'!C20*1000</f>
        <v>189303.60000000003</v>
      </c>
      <c r="C205" s="10">
        <f>'Summary Sheet'!$B$13-'Summary Sheet'!$B$14</f>
        <v>0</v>
      </c>
      <c r="D205" s="10">
        <f>'Summary Sheet'!$B$34</f>
        <v>0</v>
      </c>
      <c r="F205" s="10" t="e">
        <f>(((C205/(8760*D205))*B205)*'Summary Sheet'!$B$6)</f>
        <v>#DIV/0!</v>
      </c>
      <c r="N205">
        <v>2023</v>
      </c>
      <c r="O205" s="10">
        <f t="shared" si="36"/>
        <v>189303.60000000003</v>
      </c>
      <c r="P205" s="10">
        <f>'Summary Sheet'!$B$13-'Summary Sheet'!$B$14</f>
        <v>0</v>
      </c>
      <c r="Q205" s="10">
        <f>'Summary Sheet'!$B$34</f>
        <v>0</v>
      </c>
      <c r="S205" s="10" t="e">
        <f>(((P205/(8760*Q205))*O205)*'Summary Sheet'!$C$6)</f>
        <v>#DIV/0!</v>
      </c>
      <c r="AA205">
        <v>2023</v>
      </c>
      <c r="AB205" s="10">
        <f t="shared" si="37"/>
        <v>189303.60000000003</v>
      </c>
      <c r="AC205" s="10">
        <f>'Summary Sheet'!$B$13-'Summary Sheet'!$B$14</f>
        <v>0</v>
      </c>
      <c r="AD205" s="10">
        <f>'Summary Sheet'!$B$34</f>
        <v>0</v>
      </c>
      <c r="AF205" s="10" t="e">
        <f>(((AC205/(8760*AD205))*AB205)*'Summary Sheet'!$D$6)</f>
        <v>#DIV/0!</v>
      </c>
      <c r="AN205">
        <v>2023</v>
      </c>
      <c r="AO205" s="10">
        <f t="shared" si="38"/>
        <v>189303.60000000003</v>
      </c>
      <c r="AP205" s="10">
        <f>'Summary Sheet'!$B$13-'Summary Sheet'!$B$14</f>
        <v>0</v>
      </c>
      <c r="AQ205" s="10">
        <f>'Summary Sheet'!$B$34</f>
        <v>0</v>
      </c>
      <c r="AS205" s="10" t="e">
        <f>(((AP205/(8760*AQ205))*AO205)*'Summary Sheet'!$E$6)</f>
        <v>#DIV/0!</v>
      </c>
      <c r="BA205">
        <v>2023</v>
      </c>
      <c r="BB205" s="10">
        <f t="shared" si="39"/>
        <v>189303.60000000003</v>
      </c>
      <c r="BC205" s="10">
        <f>'Summary Sheet'!$B$13-'Summary Sheet'!$B$14</f>
        <v>0</v>
      </c>
      <c r="BD205" s="10">
        <f>'Summary Sheet'!$B$34</f>
        <v>0</v>
      </c>
      <c r="BF205" s="10" t="e">
        <f>(((BC205/(8760*BD205))*BB205)*'Summary Sheet'!$F$6)</f>
        <v>#DIV/0!</v>
      </c>
      <c r="BN205">
        <v>2023</v>
      </c>
      <c r="BO205" s="10">
        <f t="shared" si="40"/>
        <v>189303.60000000003</v>
      </c>
      <c r="BP205" s="10">
        <f>'Summary Sheet'!$B$13-'Summary Sheet'!$B$14</f>
        <v>0</v>
      </c>
      <c r="BQ205" s="10">
        <f>'Summary Sheet'!$B$34</f>
        <v>0</v>
      </c>
      <c r="BS205" s="10" t="e">
        <f>(((BP205/(8760*BQ205))*BO205)*'Summary Sheet'!G$6)</f>
        <v>#DIV/0!</v>
      </c>
    </row>
    <row r="206" spans="1:71" ht="12.75">
      <c r="A206">
        <v>2024</v>
      </c>
      <c r="B206" s="10">
        <f>'Capacity Prices'!C21*1000</f>
        <v>197538.00000000003</v>
      </c>
      <c r="C206" s="10">
        <f>'Summary Sheet'!$B$13-'Summary Sheet'!$B$14</f>
        <v>0</v>
      </c>
      <c r="D206" s="10">
        <f>'Summary Sheet'!$B$34</f>
        <v>0</v>
      </c>
      <c r="F206" s="10" t="e">
        <f>(((C206/(8760*D206))*B206)*'Summary Sheet'!$B$6)</f>
        <v>#DIV/0!</v>
      </c>
      <c r="N206">
        <v>2024</v>
      </c>
      <c r="O206" s="10">
        <f t="shared" si="36"/>
        <v>197538.00000000003</v>
      </c>
      <c r="P206" s="10">
        <f>'Summary Sheet'!$B$13-'Summary Sheet'!$B$14</f>
        <v>0</v>
      </c>
      <c r="Q206" s="10">
        <f>'Summary Sheet'!$B$34</f>
        <v>0</v>
      </c>
      <c r="S206" s="10" t="e">
        <f>(((P206/(8760*Q206))*O206)*'Summary Sheet'!$C$6)</f>
        <v>#DIV/0!</v>
      </c>
      <c r="AA206">
        <v>2024</v>
      </c>
      <c r="AB206" s="10">
        <f t="shared" si="37"/>
        <v>197538.00000000003</v>
      </c>
      <c r="AC206" s="10">
        <f>'Summary Sheet'!$B$13-'Summary Sheet'!$B$14</f>
        <v>0</v>
      </c>
      <c r="AD206" s="10">
        <f>'Summary Sheet'!$B$34</f>
        <v>0</v>
      </c>
      <c r="AF206" s="10" t="e">
        <f>(((AC206/(8760*AD206))*AB206)*'Summary Sheet'!$D$6)</f>
        <v>#DIV/0!</v>
      </c>
      <c r="AN206">
        <v>2024</v>
      </c>
      <c r="AO206" s="10">
        <f t="shared" si="38"/>
        <v>197538.00000000003</v>
      </c>
      <c r="AP206" s="10">
        <f>'Summary Sheet'!$B$13-'Summary Sheet'!$B$14</f>
        <v>0</v>
      </c>
      <c r="AQ206" s="10">
        <f>'Summary Sheet'!$B$34</f>
        <v>0</v>
      </c>
      <c r="AS206" s="10" t="e">
        <f>(((AP206/(8760*AQ206))*AO206)*'Summary Sheet'!$E$6)</f>
        <v>#DIV/0!</v>
      </c>
      <c r="BA206">
        <v>2024</v>
      </c>
      <c r="BB206" s="10">
        <f t="shared" si="39"/>
        <v>197538.00000000003</v>
      </c>
      <c r="BC206" s="10">
        <f>'Summary Sheet'!$B$13-'Summary Sheet'!$B$14</f>
        <v>0</v>
      </c>
      <c r="BD206" s="10">
        <f>'Summary Sheet'!$B$34</f>
        <v>0</v>
      </c>
      <c r="BF206" s="10" t="e">
        <f>(((BC206/(8760*BD206))*BB206)*'Summary Sheet'!$F$6)</f>
        <v>#DIV/0!</v>
      </c>
      <c r="BN206">
        <v>2024</v>
      </c>
      <c r="BO206" s="10">
        <f t="shared" si="40"/>
        <v>197538.00000000003</v>
      </c>
      <c r="BP206" s="10">
        <f>'Summary Sheet'!$B$13-'Summary Sheet'!$B$14</f>
        <v>0</v>
      </c>
      <c r="BQ206" s="10">
        <f>'Summary Sheet'!$B$34</f>
        <v>0</v>
      </c>
      <c r="BS206" s="10" t="e">
        <f>(((BP206/(8760*BQ206))*BO206)*'Summary Sheet'!G$6)</f>
        <v>#DIV/0!</v>
      </c>
    </row>
    <row r="207" spans="1:71" ht="12.75">
      <c r="A207">
        <v>2025</v>
      </c>
      <c r="B207" s="10">
        <f>'Capacity Prices'!C22*1000</f>
        <v>205772.40000000005</v>
      </c>
      <c r="C207" s="10">
        <f>'Summary Sheet'!$B$13-'Summary Sheet'!$B$14</f>
        <v>0</v>
      </c>
      <c r="D207" s="10">
        <f>'Summary Sheet'!$B$34</f>
        <v>0</v>
      </c>
      <c r="F207" s="10" t="e">
        <f>(((C207/(8760*D207))*B207)*'Summary Sheet'!$B$6)</f>
        <v>#DIV/0!</v>
      </c>
      <c r="N207">
        <v>2025</v>
      </c>
      <c r="O207" s="10">
        <f t="shared" si="36"/>
        <v>205772.40000000005</v>
      </c>
      <c r="P207" s="10">
        <f>'Summary Sheet'!$B$13-'Summary Sheet'!$B$14</f>
        <v>0</v>
      </c>
      <c r="Q207" s="10">
        <f>'Summary Sheet'!$B$34</f>
        <v>0</v>
      </c>
      <c r="S207" s="10" t="e">
        <f>(((P207/(8760*Q207))*O207)*'Summary Sheet'!$C$6)</f>
        <v>#DIV/0!</v>
      </c>
      <c r="AA207">
        <v>2025</v>
      </c>
      <c r="AB207" s="10">
        <f t="shared" si="37"/>
        <v>205772.40000000005</v>
      </c>
      <c r="AC207" s="10">
        <f>'Summary Sheet'!$B$13-'Summary Sheet'!$B$14</f>
        <v>0</v>
      </c>
      <c r="AD207" s="10">
        <f>'Summary Sheet'!$B$34</f>
        <v>0</v>
      </c>
      <c r="AF207" s="10" t="e">
        <f>(((AC207/(8760*AD207))*AB207)*'Summary Sheet'!$D$6)</f>
        <v>#DIV/0!</v>
      </c>
      <c r="AN207">
        <v>2025</v>
      </c>
      <c r="AO207" s="10">
        <f t="shared" si="38"/>
        <v>205772.40000000005</v>
      </c>
      <c r="AP207" s="10">
        <f>'Summary Sheet'!$B$13-'Summary Sheet'!$B$14</f>
        <v>0</v>
      </c>
      <c r="AQ207" s="10">
        <f>'Summary Sheet'!$B$34</f>
        <v>0</v>
      </c>
      <c r="AS207" s="10" t="e">
        <f>(((AP207/(8760*AQ207))*AO207)*'Summary Sheet'!$E$6)</f>
        <v>#DIV/0!</v>
      </c>
      <c r="BA207">
        <v>2025</v>
      </c>
      <c r="BB207" s="10">
        <f t="shared" si="39"/>
        <v>205772.40000000005</v>
      </c>
      <c r="BC207" s="10">
        <f>'Summary Sheet'!$B$13-'Summary Sheet'!$B$14</f>
        <v>0</v>
      </c>
      <c r="BD207" s="10">
        <f>'Summary Sheet'!$B$34</f>
        <v>0</v>
      </c>
      <c r="BF207" s="10" t="e">
        <f>(((BC207/(8760*BD207))*BB207)*'Summary Sheet'!$F$6)</f>
        <v>#DIV/0!</v>
      </c>
      <c r="BN207">
        <v>2025</v>
      </c>
      <c r="BO207" s="10">
        <f t="shared" si="40"/>
        <v>205772.40000000005</v>
      </c>
      <c r="BP207" s="10">
        <f>'Summary Sheet'!$B$13-'Summary Sheet'!$B$14</f>
        <v>0</v>
      </c>
      <c r="BQ207" s="10">
        <f>'Summary Sheet'!$B$34</f>
        <v>0</v>
      </c>
      <c r="BS207" s="10" t="e">
        <f>(((BP207/(8760*BQ207))*BO207)*'Summary Sheet'!G$6)</f>
        <v>#DIV/0!</v>
      </c>
    </row>
    <row r="208" spans="1:71" ht="12.75">
      <c r="A208">
        <v>2026</v>
      </c>
      <c r="B208" s="10">
        <f>'Capacity Prices'!C23*1000</f>
        <v>214006.80000000005</v>
      </c>
      <c r="C208" s="10">
        <f>'Summary Sheet'!$B$13-'Summary Sheet'!$B$14</f>
        <v>0</v>
      </c>
      <c r="D208" s="10">
        <f>'Summary Sheet'!$B$34</f>
        <v>0</v>
      </c>
      <c r="F208" s="10" t="e">
        <f>(((C208/(8760*D208))*B208)*'Summary Sheet'!$B$6)</f>
        <v>#DIV/0!</v>
      </c>
      <c r="N208">
        <v>2026</v>
      </c>
      <c r="O208" s="10">
        <f t="shared" si="36"/>
        <v>214006.80000000005</v>
      </c>
      <c r="P208" s="10">
        <f>'Summary Sheet'!$B$13-'Summary Sheet'!$B$14</f>
        <v>0</v>
      </c>
      <c r="Q208" s="10">
        <f>'Summary Sheet'!$B$34</f>
        <v>0</v>
      </c>
      <c r="S208" s="10" t="e">
        <f>(((P208/(8760*Q208))*O208)*'Summary Sheet'!$C$6)</f>
        <v>#DIV/0!</v>
      </c>
      <c r="AA208">
        <v>2026</v>
      </c>
      <c r="AB208" s="10">
        <f t="shared" si="37"/>
        <v>214006.80000000005</v>
      </c>
      <c r="AC208" s="10">
        <f>'Summary Sheet'!$B$13-'Summary Sheet'!$B$14</f>
        <v>0</v>
      </c>
      <c r="AD208" s="10">
        <f>'Summary Sheet'!$B$34</f>
        <v>0</v>
      </c>
      <c r="AF208" s="10" t="e">
        <f>(((AC208/(8760*AD208))*AB208)*'Summary Sheet'!$D$6)</f>
        <v>#DIV/0!</v>
      </c>
      <c r="AN208">
        <v>2026</v>
      </c>
      <c r="AO208" s="10">
        <f t="shared" si="38"/>
        <v>214006.80000000005</v>
      </c>
      <c r="AP208" s="10">
        <f>'Summary Sheet'!$B$13-'Summary Sheet'!$B$14</f>
        <v>0</v>
      </c>
      <c r="AQ208" s="10">
        <f>'Summary Sheet'!$B$34</f>
        <v>0</v>
      </c>
      <c r="AS208" s="10" t="e">
        <f>(((AP208/(8760*AQ208))*AO208)*'Summary Sheet'!$E$6)</f>
        <v>#DIV/0!</v>
      </c>
      <c r="BA208">
        <v>2026</v>
      </c>
      <c r="BB208" s="10">
        <f t="shared" si="39"/>
        <v>214006.80000000005</v>
      </c>
      <c r="BC208" s="10">
        <f>'Summary Sheet'!$B$13-'Summary Sheet'!$B$14</f>
        <v>0</v>
      </c>
      <c r="BD208" s="10">
        <f>'Summary Sheet'!$B$34</f>
        <v>0</v>
      </c>
      <c r="BF208" s="10" t="e">
        <f>(((BC208/(8760*BD208))*BB208)*'Summary Sheet'!$F$6)</f>
        <v>#DIV/0!</v>
      </c>
      <c r="BN208">
        <v>2026</v>
      </c>
      <c r="BO208" s="10">
        <f t="shared" si="40"/>
        <v>214006.80000000005</v>
      </c>
      <c r="BP208" s="10">
        <f>'Summary Sheet'!$B$13-'Summary Sheet'!$B$14</f>
        <v>0</v>
      </c>
      <c r="BQ208" s="10">
        <f>'Summary Sheet'!$B$34</f>
        <v>0</v>
      </c>
      <c r="BS208" s="10" t="e">
        <f>(((BP208/(8760*BQ208))*BO208)*'Summary Sheet'!G$6)</f>
        <v>#DIV/0!</v>
      </c>
    </row>
    <row r="209" spans="1:71" ht="12.75">
      <c r="A209">
        <v>2027</v>
      </c>
      <c r="B209" s="10">
        <f>'Capacity Prices'!C24*1000</f>
        <v>0</v>
      </c>
      <c r="C209" s="10">
        <f>'Summary Sheet'!$B$13-'Summary Sheet'!$B$14</f>
        <v>0</v>
      </c>
      <c r="D209" s="10">
        <f>'Summary Sheet'!$B$34</f>
        <v>0</v>
      </c>
      <c r="F209" s="10" t="e">
        <f>(((C209/(8760*D209))*B209)*'Summary Sheet'!$B$6)</f>
        <v>#DIV/0!</v>
      </c>
      <c r="N209">
        <v>2027</v>
      </c>
      <c r="O209" s="10">
        <f t="shared" si="36"/>
        <v>0</v>
      </c>
      <c r="P209" s="10">
        <f>'Summary Sheet'!$B$13-'Summary Sheet'!$B$14</f>
        <v>0</v>
      </c>
      <c r="Q209" s="10">
        <f>'Summary Sheet'!$B$34</f>
        <v>0</v>
      </c>
      <c r="S209" s="10" t="e">
        <f>(((P209/(8760*Q209))*O209)*'Summary Sheet'!$C$6)</f>
        <v>#DIV/0!</v>
      </c>
      <c r="AA209">
        <v>2027</v>
      </c>
      <c r="AB209" s="10">
        <f t="shared" si="37"/>
        <v>0</v>
      </c>
      <c r="AC209" s="10">
        <f>'Summary Sheet'!$B$13-'Summary Sheet'!$B$14</f>
        <v>0</v>
      </c>
      <c r="AD209" s="10">
        <f>'Summary Sheet'!$B$34</f>
        <v>0</v>
      </c>
      <c r="AF209" s="10" t="e">
        <f>(((AC209/(8760*AD209))*AB209)*'Summary Sheet'!$D$6)</f>
        <v>#DIV/0!</v>
      </c>
      <c r="AN209">
        <v>2027</v>
      </c>
      <c r="AO209" s="10">
        <f t="shared" si="38"/>
        <v>0</v>
      </c>
      <c r="AP209" s="10">
        <f>'Summary Sheet'!$B$13-'Summary Sheet'!$B$14</f>
        <v>0</v>
      </c>
      <c r="AQ209" s="10">
        <f>'Summary Sheet'!$B$34</f>
        <v>0</v>
      </c>
      <c r="AS209" s="10" t="e">
        <f>(((AP209/(8760*AQ209))*AO209)*'Summary Sheet'!$E$6)</f>
        <v>#DIV/0!</v>
      </c>
      <c r="BA209">
        <v>2027</v>
      </c>
      <c r="BB209" s="10">
        <f t="shared" si="39"/>
        <v>0</v>
      </c>
      <c r="BC209" s="10">
        <f>'Summary Sheet'!$B$13-'Summary Sheet'!$B$14</f>
        <v>0</v>
      </c>
      <c r="BD209" s="10">
        <f>'Summary Sheet'!$B$34</f>
        <v>0</v>
      </c>
      <c r="BF209" s="10" t="e">
        <f>(((BC209/(8760*BD209))*BB209)*'Summary Sheet'!$F$6)</f>
        <v>#DIV/0!</v>
      </c>
      <c r="BN209">
        <v>2027</v>
      </c>
      <c r="BO209" s="10">
        <f t="shared" si="40"/>
        <v>0</v>
      </c>
      <c r="BP209" s="10">
        <f>'Summary Sheet'!$B$13-'Summary Sheet'!$B$14</f>
        <v>0</v>
      </c>
      <c r="BQ209" s="10">
        <f>'Summary Sheet'!$B$34</f>
        <v>0</v>
      </c>
      <c r="BS209" s="10" t="e">
        <f>(((BP209/(8760*BQ209))*BO209)*'Summary Sheet'!G$6)</f>
        <v>#DIV/0!</v>
      </c>
    </row>
    <row r="210" spans="1:71" ht="12.75">
      <c r="A210">
        <v>2028</v>
      </c>
      <c r="B210" s="10">
        <f>'Capacity Prices'!C25*1000</f>
        <v>0</v>
      </c>
      <c r="C210" s="10">
        <f>'Summary Sheet'!$B$13-'Summary Sheet'!$B$14</f>
        <v>0</v>
      </c>
      <c r="D210" s="10">
        <f>'Summary Sheet'!$B$34</f>
        <v>0</v>
      </c>
      <c r="F210" s="10" t="e">
        <f>(((C210/(8760*D210))*B210)*'Summary Sheet'!$B$6)</f>
        <v>#DIV/0!</v>
      </c>
      <c r="N210">
        <v>2028</v>
      </c>
      <c r="O210" s="10">
        <f t="shared" si="36"/>
        <v>0</v>
      </c>
      <c r="P210" s="10">
        <f>'Summary Sheet'!$B$13-'Summary Sheet'!$B$14</f>
        <v>0</v>
      </c>
      <c r="Q210" s="10">
        <f>'Summary Sheet'!$B$34</f>
        <v>0</v>
      </c>
      <c r="S210" s="10" t="e">
        <f>(((P210/(8760*Q210))*O210)*'Summary Sheet'!$C$6)</f>
        <v>#DIV/0!</v>
      </c>
      <c r="AA210">
        <v>2028</v>
      </c>
      <c r="AB210" s="10">
        <f t="shared" si="37"/>
        <v>0</v>
      </c>
      <c r="AC210" s="10">
        <f>'Summary Sheet'!$B$13-'Summary Sheet'!$B$14</f>
        <v>0</v>
      </c>
      <c r="AD210" s="10">
        <f>'Summary Sheet'!$B$34</f>
        <v>0</v>
      </c>
      <c r="AF210" s="10" t="e">
        <f>(((AC210/(8760*AD210))*AB210)*'Summary Sheet'!$D$6)</f>
        <v>#DIV/0!</v>
      </c>
      <c r="AN210">
        <v>2028</v>
      </c>
      <c r="AO210" s="10">
        <f t="shared" si="38"/>
        <v>0</v>
      </c>
      <c r="AP210" s="10">
        <f>'Summary Sheet'!$B$13-'Summary Sheet'!$B$14</f>
        <v>0</v>
      </c>
      <c r="AQ210" s="10">
        <f>'Summary Sheet'!$B$34</f>
        <v>0</v>
      </c>
      <c r="AS210" s="10" t="e">
        <f>(((AP210/(8760*AQ210))*AO210)*'Summary Sheet'!$E$6)</f>
        <v>#DIV/0!</v>
      </c>
      <c r="BA210">
        <v>2028</v>
      </c>
      <c r="BB210" s="10">
        <f t="shared" si="39"/>
        <v>0</v>
      </c>
      <c r="BC210" s="10">
        <f>'Summary Sheet'!$B$13-'Summary Sheet'!$B$14</f>
        <v>0</v>
      </c>
      <c r="BD210" s="10">
        <f>'Summary Sheet'!$B$34</f>
        <v>0</v>
      </c>
      <c r="BF210" s="10" t="e">
        <f>(((BC210/(8760*BD210))*BB210)*'Summary Sheet'!$F$6)</f>
        <v>#DIV/0!</v>
      </c>
      <c r="BN210">
        <v>2028</v>
      </c>
      <c r="BO210" s="10">
        <f t="shared" si="40"/>
        <v>0</v>
      </c>
      <c r="BP210" s="10">
        <f>'Summary Sheet'!$B$13-'Summary Sheet'!$B$14</f>
        <v>0</v>
      </c>
      <c r="BQ210" s="10">
        <f>'Summary Sheet'!$B$34</f>
        <v>0</v>
      </c>
      <c r="BS210" s="10" t="e">
        <f>(((BP210/(8760*BQ210))*BO210)*'Summary Sheet'!G$6)</f>
        <v>#DIV/0!</v>
      </c>
    </row>
    <row r="211" ht="12.75">
      <c r="B211" s="10"/>
    </row>
    <row r="212" spans="5:71" ht="12.75">
      <c r="E212" t="s">
        <v>197</v>
      </c>
      <c r="F212" s="10">
        <v>0</v>
      </c>
      <c r="R212" t="s">
        <v>197</v>
      </c>
      <c r="S212" s="10" t="e">
        <f>SUM(S191:S210)</f>
        <v>#DIV/0!</v>
      </c>
      <c r="AE212" t="s">
        <v>197</v>
      </c>
      <c r="AF212" s="10" t="e">
        <f>SUM(AF191:AF210)</f>
        <v>#DIV/0!</v>
      </c>
      <c r="AR212" t="s">
        <v>197</v>
      </c>
      <c r="AS212" s="10" t="e">
        <f>SUM(AS191:AS210)</f>
        <v>#DIV/0!</v>
      </c>
      <c r="BE212" t="s">
        <v>197</v>
      </c>
      <c r="BF212" s="10" t="e">
        <f>SUM(BF191:BF210)</f>
        <v>#DIV/0!</v>
      </c>
      <c r="BR212" t="s">
        <v>197</v>
      </c>
      <c r="BS212" s="10" t="e">
        <f>SUM(BS191:BS210)</f>
        <v>#DIV/0!</v>
      </c>
    </row>
    <row r="213" spans="5:71" ht="12.75">
      <c r="E213" t="s">
        <v>171</v>
      </c>
      <c r="F213" s="8">
        <v>0</v>
      </c>
      <c r="R213" t="s">
        <v>171</v>
      </c>
      <c r="S213" s="8" t="e">
        <f>NPV('Summary Sheet'!$C$67,S191:S210)</f>
        <v>#DIV/0!</v>
      </c>
      <c r="AE213" t="s">
        <v>171</v>
      </c>
      <c r="AF213" s="8" t="e">
        <f>NPV('Summary Sheet'!$D$67,AF191:AF210)</f>
        <v>#DIV/0!</v>
      </c>
      <c r="AR213" t="s">
        <v>171</v>
      </c>
      <c r="AS213" s="8" t="e">
        <f>NPV('Summary Sheet'!$E$67,AS191:AS210)</f>
        <v>#DIV/0!</v>
      </c>
      <c r="BE213" t="s">
        <v>171</v>
      </c>
      <c r="BF213" s="8" t="e">
        <f>NPV('Summary Sheet'!$F$67,BF191:BF210)</f>
        <v>#DIV/0!</v>
      </c>
      <c r="BR213" t="s">
        <v>171</v>
      </c>
      <c r="BS213" s="8" t="e">
        <f>NPV('Summary Sheet'!$G$67,BS191:BS210)</f>
        <v>#DIV/0!</v>
      </c>
    </row>
    <row r="217" spans="1:72" ht="12.75">
      <c r="A217" s="246" t="s">
        <v>747</v>
      </c>
      <c r="B217" s="245"/>
      <c r="C217" s="245"/>
      <c r="D217" s="245"/>
      <c r="E217" s="245"/>
      <c r="F217" s="12"/>
      <c r="G217" s="12"/>
      <c r="N217" s="246" t="s">
        <v>747</v>
      </c>
      <c r="O217" s="245"/>
      <c r="P217" s="245"/>
      <c r="Q217" s="245"/>
      <c r="R217" s="245"/>
      <c r="S217" s="12"/>
      <c r="T217" s="12"/>
      <c r="AA217" s="246" t="s">
        <v>747</v>
      </c>
      <c r="AB217" s="245"/>
      <c r="AC217" s="245"/>
      <c r="AD217" s="245"/>
      <c r="AE217" s="245"/>
      <c r="AF217" s="12"/>
      <c r="AG217" s="12"/>
      <c r="AN217" s="246" t="s">
        <v>747</v>
      </c>
      <c r="AO217" s="245"/>
      <c r="AP217" s="245"/>
      <c r="AQ217" s="245"/>
      <c r="AR217" s="245"/>
      <c r="AS217" s="12"/>
      <c r="AT217" s="12"/>
      <c r="BA217" s="246" t="s">
        <v>747</v>
      </c>
      <c r="BB217" s="245"/>
      <c r="BC217" s="245"/>
      <c r="BD217" s="245"/>
      <c r="BE217" s="245"/>
      <c r="BF217" s="12"/>
      <c r="BG217" s="12"/>
      <c r="BN217" s="246" t="s">
        <v>747</v>
      </c>
      <c r="BO217" s="245"/>
      <c r="BP217" s="245"/>
      <c r="BQ217" s="245"/>
      <c r="BR217" s="245"/>
      <c r="BS217" s="12"/>
      <c r="BT217" s="12"/>
    </row>
    <row r="218" spans="1:69" ht="25.5">
      <c r="A218" s="7" t="s">
        <v>159</v>
      </c>
      <c r="B218" s="7" t="s">
        <v>749</v>
      </c>
      <c r="C218" s="7" t="s">
        <v>164</v>
      </c>
      <c r="D218" s="7" t="s">
        <v>748</v>
      </c>
      <c r="N218" s="7" t="s">
        <v>159</v>
      </c>
      <c r="O218" s="7" t="s">
        <v>749</v>
      </c>
      <c r="P218" s="7" t="s">
        <v>164</v>
      </c>
      <c r="Q218" s="7" t="s">
        <v>748</v>
      </c>
      <c r="AA218" s="7" t="s">
        <v>159</v>
      </c>
      <c r="AB218" s="7" t="s">
        <v>749</v>
      </c>
      <c r="AC218" s="7" t="s">
        <v>164</v>
      </c>
      <c r="AD218" s="7" t="s">
        <v>748</v>
      </c>
      <c r="AN218" s="7" t="s">
        <v>159</v>
      </c>
      <c r="AO218" s="7" t="s">
        <v>749</v>
      </c>
      <c r="AP218" s="7" t="s">
        <v>164</v>
      </c>
      <c r="AQ218" s="7" t="s">
        <v>748</v>
      </c>
      <c r="BA218" s="7" t="s">
        <v>159</v>
      </c>
      <c r="BB218" s="7" t="s">
        <v>749</v>
      </c>
      <c r="BC218" s="7" t="s">
        <v>164</v>
      </c>
      <c r="BD218" s="7" t="s">
        <v>748</v>
      </c>
      <c r="BN218" s="7" t="s">
        <v>159</v>
      </c>
      <c r="BO218" s="7" t="s">
        <v>749</v>
      </c>
      <c r="BP218" s="7" t="s">
        <v>164</v>
      </c>
      <c r="BQ218" s="7" t="s">
        <v>748</v>
      </c>
    </row>
    <row r="219" spans="1:69" ht="12.75">
      <c r="A219">
        <v>2009</v>
      </c>
      <c r="B219" s="10">
        <f>'Summary Sheet'!$B$63*(1+((Inflation!B7-Inflation!$B$4)/Inflation!$B$4))</f>
        <v>0</v>
      </c>
      <c r="C219" s="10" t="e">
        <f>'Summary Sheet'!$B$26-'Summary Sheet'!$B$27</f>
        <v>#DIV/0!</v>
      </c>
      <c r="D219" t="e">
        <f>(B219*C219*'Summary Sheet'!$B$6)</f>
        <v>#DIV/0!</v>
      </c>
      <c r="N219">
        <v>2009</v>
      </c>
      <c r="O219" s="10">
        <f>'Summary Sheet'!$C$63*(1+((Inflation!B7-Inflation!$B$4)/Inflation!$B$4))</f>
        <v>0</v>
      </c>
      <c r="P219" s="10">
        <v>0</v>
      </c>
      <c r="Q219">
        <v>0</v>
      </c>
      <c r="AA219">
        <v>2009</v>
      </c>
      <c r="AB219" s="10">
        <f>'Summary Sheet'!$D$63</f>
        <v>0</v>
      </c>
      <c r="AC219" s="10" t="e">
        <f>'Summary Sheet'!$D$26-'Summary Sheet'!$D$27</f>
        <v>#DIV/0!</v>
      </c>
      <c r="AD219" t="e">
        <f>(AB219*AC219)*'Summary Sheet'!$D$6</f>
        <v>#DIV/0!</v>
      </c>
      <c r="AN219">
        <v>2009</v>
      </c>
      <c r="AO219" s="10">
        <f>'Summary Sheet'!$E$63</f>
        <v>0</v>
      </c>
      <c r="AP219" s="10" t="e">
        <f>'Summary Sheet'!$E$26-'Summary Sheet'!$E$27</f>
        <v>#DIV/0!</v>
      </c>
      <c r="AQ219" t="e">
        <f>(AO219*AP219)*'Summary Sheet'!$E$6</f>
        <v>#DIV/0!</v>
      </c>
      <c r="BA219">
        <v>2009</v>
      </c>
      <c r="BB219" s="10">
        <f>'Summary Sheet'!$F$63</f>
        <v>0</v>
      </c>
      <c r="BC219" s="10" t="e">
        <f>'Summary Sheet'!$F$26-'Summary Sheet'!$F$27</f>
        <v>#DIV/0!</v>
      </c>
      <c r="BD219" t="e">
        <f>(BB219*BC219)*'Summary Sheet'!$F$6</f>
        <v>#DIV/0!</v>
      </c>
      <c r="BN219">
        <v>2009</v>
      </c>
      <c r="BO219" s="10">
        <f>'Summary Sheet'!$G$63</f>
        <v>0</v>
      </c>
      <c r="BP219" s="10" t="e">
        <f>'Summary Sheet'!$G$26-'Summary Sheet'!$G$27</f>
        <v>#DIV/0!</v>
      </c>
      <c r="BQ219" t="e">
        <f>(BO219*BP219)*'Summary Sheet'!$G$6</f>
        <v>#DIV/0!</v>
      </c>
    </row>
    <row r="220" spans="1:69" ht="12.75">
      <c r="A220">
        <v>2010</v>
      </c>
      <c r="B220" s="10">
        <f>'Summary Sheet'!$B$63*(1+((Inflation!B8-Inflation!$B$4)/Inflation!$B$4))</f>
        <v>0</v>
      </c>
      <c r="C220" s="10" t="e">
        <f>'Summary Sheet'!$B$26-'Summary Sheet'!$B$27</f>
        <v>#DIV/0!</v>
      </c>
      <c r="D220" t="e">
        <f>(B220*C220*'Summary Sheet'!$B$6)</f>
        <v>#DIV/0!</v>
      </c>
      <c r="N220">
        <v>2010</v>
      </c>
      <c r="O220" s="10">
        <f>'Summary Sheet'!$C$63*(1+((Inflation!B8-Inflation!$B$4)/Inflation!$B$4))</f>
        <v>0</v>
      </c>
      <c r="P220" s="10" t="e">
        <f>'Summary Sheet'!$C$26-'Summary Sheet'!$C$27</f>
        <v>#DIV/0!</v>
      </c>
      <c r="Q220" t="e">
        <f>(O220*P220)*'Summary Sheet'!$C$6</f>
        <v>#DIV/0!</v>
      </c>
      <c r="AA220">
        <v>2010</v>
      </c>
      <c r="AB220" s="10" t="e">
        <f>AB219*Inflation!B5/Inflation!$B$3</f>
        <v>#VALUE!</v>
      </c>
      <c r="AC220" s="10" t="e">
        <f>'Summary Sheet'!$D$26-'Summary Sheet'!$D$27</f>
        <v>#DIV/0!</v>
      </c>
      <c r="AD220" t="e">
        <f>(AB220*AC220)*'Summary Sheet'!$D$6</f>
        <v>#VALUE!</v>
      </c>
      <c r="AN220">
        <v>2010</v>
      </c>
      <c r="AO220" s="10" t="e">
        <f>$AO$219*Inflation!B5/Inflation!$B$3</f>
        <v>#VALUE!</v>
      </c>
      <c r="AP220" s="10" t="e">
        <f>'Summary Sheet'!$E$26-'Summary Sheet'!$E$27</f>
        <v>#DIV/0!</v>
      </c>
      <c r="AQ220" t="e">
        <f>(AO220*AP220)*'Summary Sheet'!$E$6</f>
        <v>#VALUE!</v>
      </c>
      <c r="BA220">
        <v>2010</v>
      </c>
      <c r="BB220" s="10" t="e">
        <f>$BB$219*Inflation!B5/Inflation!$B$3</f>
        <v>#VALUE!</v>
      </c>
      <c r="BC220" s="10" t="e">
        <f>'Summary Sheet'!$F$26-'Summary Sheet'!$F$27</f>
        <v>#DIV/0!</v>
      </c>
      <c r="BD220" t="e">
        <f>(BB220*BC220)*'Summary Sheet'!$F$6</f>
        <v>#VALUE!</v>
      </c>
      <c r="BN220">
        <v>2010</v>
      </c>
      <c r="BO220" s="10" t="e">
        <f>$BO$219*Inflation!B5/Inflation!$B$3</f>
        <v>#VALUE!</v>
      </c>
      <c r="BP220" s="10" t="e">
        <f>'Summary Sheet'!$G$26-'Summary Sheet'!$G$27</f>
        <v>#DIV/0!</v>
      </c>
      <c r="BQ220" t="e">
        <f>(BO220*BP220)*'Summary Sheet'!$G$6</f>
        <v>#VALUE!</v>
      </c>
    </row>
    <row r="221" spans="1:69" ht="12.75">
      <c r="A221">
        <v>2011</v>
      </c>
      <c r="B221" s="10">
        <f>'Summary Sheet'!$B$63*(1+((Inflation!B9-Inflation!$B$4)/Inflation!$B$4))</f>
        <v>0</v>
      </c>
      <c r="C221" s="10" t="e">
        <f>'Summary Sheet'!$B$26-'Summary Sheet'!$B$27</f>
        <v>#DIV/0!</v>
      </c>
      <c r="D221" t="e">
        <f>(B221*C221*'Summary Sheet'!$B$6)</f>
        <v>#DIV/0!</v>
      </c>
      <c r="N221">
        <v>2011</v>
      </c>
      <c r="O221" s="10">
        <f>'Summary Sheet'!$C$63*(1+((Inflation!B9-Inflation!$B$4)/Inflation!$B$4))</f>
        <v>0</v>
      </c>
      <c r="P221" s="10" t="e">
        <f>'Summary Sheet'!$C$26-'Summary Sheet'!$C$27</f>
        <v>#DIV/0!</v>
      </c>
      <c r="Q221" t="e">
        <f>(O221*P221)*'Summary Sheet'!$C$6</f>
        <v>#DIV/0!</v>
      </c>
      <c r="AA221">
        <v>2011</v>
      </c>
      <c r="AB221" s="10" t="e">
        <f>AB220*Inflation!B6/Inflation!$B$3</f>
        <v>#VALUE!</v>
      </c>
      <c r="AC221" s="10" t="e">
        <f>'Summary Sheet'!$D$26-'Summary Sheet'!$D$27</f>
        <v>#DIV/0!</v>
      </c>
      <c r="AD221" t="e">
        <f>(AB221*AC221)*'Summary Sheet'!$D$6</f>
        <v>#VALUE!</v>
      </c>
      <c r="AN221">
        <v>2011</v>
      </c>
      <c r="AO221" s="10" t="e">
        <f>$AO$219*Inflation!B6/Inflation!$B$3</f>
        <v>#VALUE!</v>
      </c>
      <c r="AP221" s="10" t="e">
        <f>'Summary Sheet'!$E$26-'Summary Sheet'!$E$27</f>
        <v>#DIV/0!</v>
      </c>
      <c r="AQ221" t="e">
        <f>(AO221*AP221)*'Summary Sheet'!$E$6</f>
        <v>#VALUE!</v>
      </c>
      <c r="BA221">
        <v>2011</v>
      </c>
      <c r="BB221" s="10" t="e">
        <f>$BB$219*Inflation!B6/Inflation!$B$3</f>
        <v>#VALUE!</v>
      </c>
      <c r="BC221" s="10" t="e">
        <f>'Summary Sheet'!$F$26-'Summary Sheet'!$F$27</f>
        <v>#DIV/0!</v>
      </c>
      <c r="BD221" t="e">
        <f>(BB221*BC221)*'Summary Sheet'!$F$6</f>
        <v>#VALUE!</v>
      </c>
      <c r="BN221">
        <v>2011</v>
      </c>
      <c r="BO221" s="10" t="e">
        <f>$BO$219*Inflation!B6/Inflation!$B$3</f>
        <v>#VALUE!</v>
      </c>
      <c r="BP221" s="10" t="e">
        <f>'Summary Sheet'!$G$26-'Summary Sheet'!$G$27</f>
        <v>#DIV/0!</v>
      </c>
      <c r="BQ221" t="e">
        <f>(BO221*BP221)*'Summary Sheet'!$G$6</f>
        <v>#VALUE!</v>
      </c>
    </row>
    <row r="222" spans="1:69" ht="12.75">
      <c r="A222">
        <v>2012</v>
      </c>
      <c r="B222" s="10">
        <f>'Summary Sheet'!$B$63*(1+((Inflation!B10-Inflation!$B$4)/Inflation!$B$4))</f>
        <v>0</v>
      </c>
      <c r="C222" s="10" t="e">
        <f>'Summary Sheet'!$B$26-'Summary Sheet'!$B$27</f>
        <v>#DIV/0!</v>
      </c>
      <c r="D222" t="e">
        <f>(B222*C222*'Summary Sheet'!$B$6)</f>
        <v>#DIV/0!</v>
      </c>
      <c r="N222">
        <v>2012</v>
      </c>
      <c r="O222" s="10">
        <f>'Summary Sheet'!$C$63*(1+((Inflation!B10-Inflation!$B$4)/Inflation!$B$4))</f>
        <v>0</v>
      </c>
      <c r="P222" s="10" t="e">
        <f>'Summary Sheet'!$C$26-'Summary Sheet'!$C$27</f>
        <v>#DIV/0!</v>
      </c>
      <c r="Q222" t="e">
        <f>(O222*P222)*'Summary Sheet'!$C$6</f>
        <v>#DIV/0!</v>
      </c>
      <c r="AA222">
        <v>2012</v>
      </c>
      <c r="AB222" s="10" t="e">
        <f>AB221*Inflation!B7/Inflation!$B$3</f>
        <v>#VALUE!</v>
      </c>
      <c r="AC222" s="10" t="e">
        <f>'Summary Sheet'!$D$26-'Summary Sheet'!$D$27</f>
        <v>#DIV/0!</v>
      </c>
      <c r="AD222" t="e">
        <f>(AB222*AC222)*'Summary Sheet'!$D$6</f>
        <v>#VALUE!</v>
      </c>
      <c r="AN222">
        <v>2012</v>
      </c>
      <c r="AO222" s="10" t="e">
        <f>$AO$219*Inflation!B7/Inflation!$B$3</f>
        <v>#VALUE!</v>
      </c>
      <c r="AP222" s="10" t="e">
        <f>'Summary Sheet'!$E$26-'Summary Sheet'!$E$27</f>
        <v>#DIV/0!</v>
      </c>
      <c r="AQ222" t="e">
        <f>(AO222*AP222)*'Summary Sheet'!$E$6</f>
        <v>#VALUE!</v>
      </c>
      <c r="BA222">
        <v>2012</v>
      </c>
      <c r="BB222" s="10" t="e">
        <f>$BB$219*Inflation!B7/Inflation!$B$3</f>
        <v>#VALUE!</v>
      </c>
      <c r="BC222" s="10" t="e">
        <f>'Summary Sheet'!$F$26-'Summary Sheet'!$F$27</f>
        <v>#DIV/0!</v>
      </c>
      <c r="BD222" t="e">
        <f>(BB222*BC222)*'Summary Sheet'!$F$6</f>
        <v>#VALUE!</v>
      </c>
      <c r="BN222">
        <v>2012</v>
      </c>
      <c r="BO222" s="10" t="e">
        <f>$BO$219*Inflation!B7/Inflation!$B$3</f>
        <v>#VALUE!</v>
      </c>
      <c r="BP222" s="10" t="e">
        <f>'Summary Sheet'!$G$26-'Summary Sheet'!$G$27</f>
        <v>#DIV/0!</v>
      </c>
      <c r="BQ222" t="e">
        <f>(BO222*BP222)*'Summary Sheet'!$G$6</f>
        <v>#VALUE!</v>
      </c>
    </row>
    <row r="223" spans="1:69" ht="12.75">
      <c r="A223">
        <v>2013</v>
      </c>
      <c r="B223" s="10">
        <f>'Summary Sheet'!$B$63*(1+((Inflation!B11-Inflation!$B$4)/Inflation!$B$4))</f>
        <v>0</v>
      </c>
      <c r="C223" s="10" t="e">
        <f>'Summary Sheet'!$B$26-'Summary Sheet'!$B$27</f>
        <v>#DIV/0!</v>
      </c>
      <c r="D223" t="e">
        <f>(B223*C223*'Summary Sheet'!$B$6)</f>
        <v>#DIV/0!</v>
      </c>
      <c r="N223">
        <v>2013</v>
      </c>
      <c r="O223" s="10">
        <f>'Summary Sheet'!$C$63*(1+((Inflation!B11-Inflation!$B$4)/Inflation!$B$4))</f>
        <v>0</v>
      </c>
      <c r="P223" s="10" t="e">
        <f>'Summary Sheet'!$C$26-'Summary Sheet'!$C$27</f>
        <v>#DIV/0!</v>
      </c>
      <c r="Q223" t="e">
        <f>(O223*P223)*'Summary Sheet'!$C$6</f>
        <v>#DIV/0!</v>
      </c>
      <c r="AA223">
        <v>2013</v>
      </c>
      <c r="AB223" s="10" t="e">
        <f>AB222*Inflation!B8/Inflation!$B$3</f>
        <v>#VALUE!</v>
      </c>
      <c r="AC223" s="10" t="e">
        <f>'Summary Sheet'!$D$26-'Summary Sheet'!$D$27</f>
        <v>#DIV/0!</v>
      </c>
      <c r="AD223" t="e">
        <f>(AB223*AC223)*'Summary Sheet'!$D$6</f>
        <v>#VALUE!</v>
      </c>
      <c r="AN223">
        <v>2013</v>
      </c>
      <c r="AO223" s="10" t="e">
        <f>$AO$219*Inflation!B8/Inflation!$B$3</f>
        <v>#VALUE!</v>
      </c>
      <c r="AP223" s="10" t="e">
        <f>'Summary Sheet'!$E$26-'Summary Sheet'!$E$27</f>
        <v>#DIV/0!</v>
      </c>
      <c r="AQ223" t="e">
        <f>(AO223*AP223)*'Summary Sheet'!$E$6</f>
        <v>#VALUE!</v>
      </c>
      <c r="BA223">
        <v>2013</v>
      </c>
      <c r="BB223" s="10" t="e">
        <f>$BB$219*Inflation!B8/Inflation!$B$3</f>
        <v>#VALUE!</v>
      </c>
      <c r="BC223" s="10" t="e">
        <f>'Summary Sheet'!$F$26-'Summary Sheet'!$F$27</f>
        <v>#DIV/0!</v>
      </c>
      <c r="BD223" t="e">
        <f>(BB223*BC223)*'Summary Sheet'!$F$6</f>
        <v>#VALUE!</v>
      </c>
      <c r="BN223">
        <v>2013</v>
      </c>
      <c r="BO223" s="10" t="e">
        <f>$BO$219*Inflation!B8/Inflation!$B$3</f>
        <v>#VALUE!</v>
      </c>
      <c r="BP223" s="10" t="e">
        <f>'Summary Sheet'!$G$26-'Summary Sheet'!$G$27</f>
        <v>#DIV/0!</v>
      </c>
      <c r="BQ223" t="e">
        <f>(BO223*BP223)*'Summary Sheet'!$G$6</f>
        <v>#VALUE!</v>
      </c>
    </row>
    <row r="224" spans="1:69" ht="12.75">
      <c r="A224">
        <v>2014</v>
      </c>
      <c r="B224" s="10">
        <f>'Summary Sheet'!$B$63*(1+((Inflation!B12-Inflation!$B$4)/Inflation!$B$4))</f>
        <v>0</v>
      </c>
      <c r="C224" s="10" t="e">
        <f>'Summary Sheet'!$B$26-'Summary Sheet'!$B$27</f>
        <v>#DIV/0!</v>
      </c>
      <c r="D224" t="e">
        <f>(B224*C224*'Summary Sheet'!$B$6)</f>
        <v>#DIV/0!</v>
      </c>
      <c r="N224">
        <v>2014</v>
      </c>
      <c r="O224" s="10">
        <f>'Summary Sheet'!$C$63*(1+((Inflation!B12-Inflation!$B$4)/Inflation!$B$4))</f>
        <v>0</v>
      </c>
      <c r="P224" s="10" t="e">
        <f>'Summary Sheet'!$C$26-'Summary Sheet'!$C$27</f>
        <v>#DIV/0!</v>
      </c>
      <c r="Q224" t="e">
        <f>(O224*P224)*'Summary Sheet'!$C$6</f>
        <v>#DIV/0!</v>
      </c>
      <c r="AA224">
        <v>2014</v>
      </c>
      <c r="AB224" s="10" t="e">
        <f>AB223*Inflation!B9/Inflation!$B$3</f>
        <v>#VALUE!</v>
      </c>
      <c r="AC224" s="10" t="e">
        <f>'Summary Sheet'!$D$26-'Summary Sheet'!$D$27</f>
        <v>#DIV/0!</v>
      </c>
      <c r="AD224" t="e">
        <f>(AB224*AC224)*'Summary Sheet'!$D$6</f>
        <v>#VALUE!</v>
      </c>
      <c r="AN224">
        <v>2014</v>
      </c>
      <c r="AO224" s="10" t="e">
        <f>$AO$219*Inflation!B9/Inflation!$B$3</f>
        <v>#VALUE!</v>
      </c>
      <c r="AP224" s="10" t="e">
        <f>'Summary Sheet'!$E$26-'Summary Sheet'!$E$27</f>
        <v>#DIV/0!</v>
      </c>
      <c r="AQ224" t="e">
        <f>(AO224*AP224)*'Summary Sheet'!$E$6</f>
        <v>#VALUE!</v>
      </c>
      <c r="BA224">
        <v>2014</v>
      </c>
      <c r="BB224" s="10" t="e">
        <f>$BB$219*Inflation!B9/Inflation!$B$3</f>
        <v>#VALUE!</v>
      </c>
      <c r="BC224" s="10" t="e">
        <f>'Summary Sheet'!$F$26-'Summary Sheet'!$F$27</f>
        <v>#DIV/0!</v>
      </c>
      <c r="BD224" t="e">
        <f>(BB224*BC224)*'Summary Sheet'!$F$6</f>
        <v>#VALUE!</v>
      </c>
      <c r="BN224">
        <v>2014</v>
      </c>
      <c r="BO224" s="10" t="e">
        <f>$BO$219*Inflation!B9/Inflation!$B$3</f>
        <v>#VALUE!</v>
      </c>
      <c r="BP224" s="10" t="e">
        <f>'Summary Sheet'!$G$26-'Summary Sheet'!$G$27</f>
        <v>#DIV/0!</v>
      </c>
      <c r="BQ224" t="e">
        <f>(BO224*BP224)*'Summary Sheet'!$G$6</f>
        <v>#VALUE!</v>
      </c>
    </row>
    <row r="225" spans="1:69" ht="12.75">
      <c r="A225">
        <v>2015</v>
      </c>
      <c r="B225" s="10">
        <f>'Summary Sheet'!$B$63*(1+((Inflation!B13-Inflation!$B$4)/Inflation!$B$4))</f>
        <v>0</v>
      </c>
      <c r="C225" s="10" t="e">
        <f>'Summary Sheet'!$B$26-'Summary Sheet'!$B$27</f>
        <v>#DIV/0!</v>
      </c>
      <c r="D225" t="e">
        <f>(B225*C225*'Summary Sheet'!$B$6)</f>
        <v>#DIV/0!</v>
      </c>
      <c r="N225">
        <v>2015</v>
      </c>
      <c r="O225" s="10">
        <f>'Summary Sheet'!$C$63*(1+((Inflation!B13-Inflation!$B$4)/Inflation!$B$4))</f>
        <v>0</v>
      </c>
      <c r="P225" s="10" t="e">
        <f>'Summary Sheet'!$C$26-'Summary Sheet'!$C$27</f>
        <v>#DIV/0!</v>
      </c>
      <c r="Q225" t="e">
        <f>(O225*P225)*'Summary Sheet'!$C$6</f>
        <v>#DIV/0!</v>
      </c>
      <c r="AA225">
        <v>2015</v>
      </c>
      <c r="AB225" s="10" t="e">
        <f>AB224*Inflation!B10/Inflation!$B$3</f>
        <v>#VALUE!</v>
      </c>
      <c r="AC225" s="10" t="e">
        <f>'Summary Sheet'!$D$26-'Summary Sheet'!$D$27</f>
        <v>#DIV/0!</v>
      </c>
      <c r="AD225" t="e">
        <f>(AB225*AC225)*'Summary Sheet'!$D$6</f>
        <v>#VALUE!</v>
      </c>
      <c r="AN225">
        <v>2015</v>
      </c>
      <c r="AO225" s="10" t="e">
        <f>$AO$219*Inflation!B10/Inflation!$B$3</f>
        <v>#VALUE!</v>
      </c>
      <c r="AP225" s="10" t="e">
        <f>'Summary Sheet'!$E$26-'Summary Sheet'!$E$27</f>
        <v>#DIV/0!</v>
      </c>
      <c r="AQ225" t="e">
        <f>(AO225*AP225)*'Summary Sheet'!$E$6</f>
        <v>#VALUE!</v>
      </c>
      <c r="BA225">
        <v>2015</v>
      </c>
      <c r="BB225" s="10" t="e">
        <f>$BB$219*Inflation!B10/Inflation!$B$3</f>
        <v>#VALUE!</v>
      </c>
      <c r="BC225" s="10" t="e">
        <f>'Summary Sheet'!$F$26-'Summary Sheet'!$F$27</f>
        <v>#DIV/0!</v>
      </c>
      <c r="BD225" t="e">
        <f>(BB225*BC225)*'Summary Sheet'!$F$6</f>
        <v>#VALUE!</v>
      </c>
      <c r="BN225">
        <v>2015</v>
      </c>
      <c r="BO225" s="10" t="e">
        <f>$BO$219*Inflation!B10/Inflation!$B$3</f>
        <v>#VALUE!</v>
      </c>
      <c r="BP225" s="10" t="e">
        <f>'Summary Sheet'!$G$26-'Summary Sheet'!$G$27</f>
        <v>#DIV/0!</v>
      </c>
      <c r="BQ225" t="e">
        <f>(BO225*BP225)*'Summary Sheet'!$G$6</f>
        <v>#VALUE!</v>
      </c>
    </row>
    <row r="226" spans="1:69" ht="12.75">
      <c r="A226">
        <v>2016</v>
      </c>
      <c r="B226" s="10">
        <f>'Summary Sheet'!$B$63*(1+((Inflation!B14-Inflation!$B$4)/Inflation!$B$4))</f>
        <v>0</v>
      </c>
      <c r="C226" s="10" t="e">
        <f>'Summary Sheet'!$B$26-'Summary Sheet'!$B$27</f>
        <v>#DIV/0!</v>
      </c>
      <c r="D226" t="e">
        <f>(B226*C226*'Summary Sheet'!$B$6)</f>
        <v>#DIV/0!</v>
      </c>
      <c r="N226">
        <v>2016</v>
      </c>
      <c r="O226" s="10">
        <f>'Summary Sheet'!$C$63*(1+((Inflation!B14-Inflation!$B$4)/Inflation!$B$4))</f>
        <v>0</v>
      </c>
      <c r="P226" s="10" t="e">
        <f>'Summary Sheet'!$C$26-'Summary Sheet'!$C$27</f>
        <v>#DIV/0!</v>
      </c>
      <c r="Q226" t="e">
        <f>(O226*P226)*'Summary Sheet'!$C$6</f>
        <v>#DIV/0!</v>
      </c>
      <c r="AA226">
        <v>2016</v>
      </c>
      <c r="AB226" s="10" t="e">
        <f>AB225*Inflation!B11/Inflation!$B$3</f>
        <v>#VALUE!</v>
      </c>
      <c r="AC226" s="10" t="e">
        <f>'Summary Sheet'!$D$26-'Summary Sheet'!$D$27</f>
        <v>#DIV/0!</v>
      </c>
      <c r="AD226" t="e">
        <f>(AB226*AC226)*'Summary Sheet'!$D$6</f>
        <v>#VALUE!</v>
      </c>
      <c r="AN226">
        <v>2016</v>
      </c>
      <c r="AO226" s="10" t="e">
        <f>$AO$219*Inflation!B11/Inflation!$B$3</f>
        <v>#VALUE!</v>
      </c>
      <c r="AP226" s="10" t="e">
        <f>'Summary Sheet'!$E$26-'Summary Sheet'!$E$27</f>
        <v>#DIV/0!</v>
      </c>
      <c r="AQ226" t="e">
        <f>(AO226*AP226)*'Summary Sheet'!$E$6</f>
        <v>#VALUE!</v>
      </c>
      <c r="BA226">
        <v>2016</v>
      </c>
      <c r="BB226" s="10" t="e">
        <f>$BB$219*Inflation!B11/Inflation!$B$3</f>
        <v>#VALUE!</v>
      </c>
      <c r="BC226" s="10" t="e">
        <f>'Summary Sheet'!$F$26-'Summary Sheet'!$F$27</f>
        <v>#DIV/0!</v>
      </c>
      <c r="BD226" t="e">
        <f>(BB226*BC226)*'Summary Sheet'!$F$6</f>
        <v>#VALUE!</v>
      </c>
      <c r="BN226">
        <v>2016</v>
      </c>
      <c r="BO226" s="10" t="e">
        <f>$BO$219*Inflation!B11/Inflation!$B$3</f>
        <v>#VALUE!</v>
      </c>
      <c r="BP226" s="10" t="e">
        <f>'Summary Sheet'!$G$26-'Summary Sheet'!$G$27</f>
        <v>#DIV/0!</v>
      </c>
      <c r="BQ226" t="e">
        <f>(BO226*BP226)*'Summary Sheet'!$G$6</f>
        <v>#VALUE!</v>
      </c>
    </row>
    <row r="227" spans="1:69" ht="12.75">
      <c r="A227">
        <v>2017</v>
      </c>
      <c r="B227" s="10">
        <f>'Summary Sheet'!$B$63*(1+((Inflation!B15-Inflation!$B$4)/Inflation!$B$4))</f>
        <v>0</v>
      </c>
      <c r="C227" s="10" t="e">
        <f>'Summary Sheet'!$B$26-'Summary Sheet'!$B$27</f>
        <v>#DIV/0!</v>
      </c>
      <c r="D227" t="e">
        <f>(B227*C227*'Summary Sheet'!$B$6)</f>
        <v>#DIV/0!</v>
      </c>
      <c r="N227">
        <v>2017</v>
      </c>
      <c r="O227" s="10">
        <f>'Summary Sheet'!$C$63*(1+((Inflation!B15-Inflation!$B$4)/Inflation!$B$4))</f>
        <v>0</v>
      </c>
      <c r="P227" s="10" t="e">
        <f>'Summary Sheet'!$C$26-'Summary Sheet'!$C$27</f>
        <v>#DIV/0!</v>
      </c>
      <c r="Q227" t="e">
        <f>(O227*P227)*'Summary Sheet'!$C$6</f>
        <v>#DIV/0!</v>
      </c>
      <c r="AA227">
        <v>2017</v>
      </c>
      <c r="AB227" s="10" t="e">
        <f>AB226*Inflation!B12/Inflation!$B$3</f>
        <v>#VALUE!</v>
      </c>
      <c r="AC227" s="10" t="e">
        <f>'Summary Sheet'!$D$26-'Summary Sheet'!$D$27</f>
        <v>#DIV/0!</v>
      </c>
      <c r="AD227" t="e">
        <f>(AB227*AC227)*'Summary Sheet'!$D$6</f>
        <v>#VALUE!</v>
      </c>
      <c r="AN227">
        <v>2017</v>
      </c>
      <c r="AO227" s="10" t="e">
        <f>$AO$219*Inflation!B12/Inflation!$B$3</f>
        <v>#VALUE!</v>
      </c>
      <c r="AP227" s="10" t="e">
        <f>'Summary Sheet'!$E$26-'Summary Sheet'!$E$27</f>
        <v>#DIV/0!</v>
      </c>
      <c r="AQ227" t="e">
        <f>(AO227*AP227)*'Summary Sheet'!$E$6</f>
        <v>#VALUE!</v>
      </c>
      <c r="BA227">
        <v>2017</v>
      </c>
      <c r="BB227" s="10" t="e">
        <f>$BB$219*Inflation!B12/Inflation!$B$3</f>
        <v>#VALUE!</v>
      </c>
      <c r="BC227" s="10" t="e">
        <f>'Summary Sheet'!$F$26-'Summary Sheet'!$F$27</f>
        <v>#DIV/0!</v>
      </c>
      <c r="BD227" t="e">
        <f>(BB227*BC227)*'Summary Sheet'!$F$6</f>
        <v>#VALUE!</v>
      </c>
      <c r="BN227">
        <v>2017</v>
      </c>
      <c r="BO227" s="10" t="e">
        <f>$BO$219*Inflation!B12/Inflation!$B$3</f>
        <v>#VALUE!</v>
      </c>
      <c r="BP227" s="10" t="e">
        <f>'Summary Sheet'!$G$26-'Summary Sheet'!$G$27</f>
        <v>#DIV/0!</v>
      </c>
      <c r="BQ227" t="e">
        <f>(BO227*BP227)*'Summary Sheet'!$G$6</f>
        <v>#VALUE!</v>
      </c>
    </row>
    <row r="228" spans="1:69" ht="12.75">
      <c r="A228">
        <v>2018</v>
      </c>
      <c r="B228" s="10">
        <f>'Summary Sheet'!$B$63*(1+((Inflation!B16-Inflation!$B$4)/Inflation!$B$4))</f>
        <v>0</v>
      </c>
      <c r="C228" s="10" t="e">
        <f>'Summary Sheet'!$B$26-'Summary Sheet'!$B$27</f>
        <v>#DIV/0!</v>
      </c>
      <c r="D228" t="e">
        <f>(B228*C228*'Summary Sheet'!$B$6)</f>
        <v>#DIV/0!</v>
      </c>
      <c r="N228">
        <v>2018</v>
      </c>
      <c r="O228" s="10">
        <f>'Summary Sheet'!$C$63*(1+((Inflation!B16-Inflation!$B$4)/Inflation!$B$4))</f>
        <v>0</v>
      </c>
      <c r="P228" s="10" t="e">
        <f>'Summary Sheet'!$C$26-'Summary Sheet'!$C$27</f>
        <v>#DIV/0!</v>
      </c>
      <c r="Q228" t="e">
        <f>(O228*P228)*'Summary Sheet'!$C$6</f>
        <v>#DIV/0!</v>
      </c>
      <c r="AA228">
        <v>2018</v>
      </c>
      <c r="AB228" s="10" t="e">
        <f>AB227*Inflation!B13/Inflation!$B$3</f>
        <v>#VALUE!</v>
      </c>
      <c r="AC228" s="10" t="e">
        <f>'Summary Sheet'!$D$26-'Summary Sheet'!$D$27</f>
        <v>#DIV/0!</v>
      </c>
      <c r="AD228" t="e">
        <f>(AB228*AC228)*'Summary Sheet'!$D$6</f>
        <v>#VALUE!</v>
      </c>
      <c r="AN228">
        <v>2018</v>
      </c>
      <c r="AO228" s="10" t="e">
        <f>$AO$219*Inflation!B13/Inflation!$B$3</f>
        <v>#VALUE!</v>
      </c>
      <c r="AP228" s="10" t="e">
        <f>'Summary Sheet'!$E$26-'Summary Sheet'!$E$27</f>
        <v>#DIV/0!</v>
      </c>
      <c r="AQ228" t="e">
        <f>(AO228*AP228)*'Summary Sheet'!$E$6</f>
        <v>#VALUE!</v>
      </c>
      <c r="BA228">
        <v>2018</v>
      </c>
      <c r="BB228" s="10" t="e">
        <f>$BB$219*Inflation!B13/Inflation!$B$3</f>
        <v>#VALUE!</v>
      </c>
      <c r="BC228" s="10" t="e">
        <f>'Summary Sheet'!$F$26-'Summary Sheet'!$F$27</f>
        <v>#DIV/0!</v>
      </c>
      <c r="BD228" t="e">
        <f>(BB228*BC228)*'Summary Sheet'!$F$6</f>
        <v>#VALUE!</v>
      </c>
      <c r="BN228">
        <v>2018</v>
      </c>
      <c r="BO228" s="10" t="e">
        <f>$BO$219*Inflation!B13/Inflation!$B$3</f>
        <v>#VALUE!</v>
      </c>
      <c r="BP228" s="10" t="e">
        <f>'Summary Sheet'!$G$26-'Summary Sheet'!$G$27</f>
        <v>#DIV/0!</v>
      </c>
      <c r="BQ228" t="e">
        <f>(BO228*BP228)*'Summary Sheet'!$G$6</f>
        <v>#VALUE!</v>
      </c>
    </row>
    <row r="229" spans="1:69" ht="12.75">
      <c r="A229">
        <v>2019</v>
      </c>
      <c r="B229" s="10">
        <f>'Summary Sheet'!$B$63*(1+((Inflation!B17-Inflation!$B$4)/Inflation!$B$4))</f>
        <v>0</v>
      </c>
      <c r="C229" s="10" t="e">
        <f>'Summary Sheet'!$B$26-'Summary Sheet'!$B$27</f>
        <v>#DIV/0!</v>
      </c>
      <c r="D229" t="e">
        <f>(B229*C229*'Summary Sheet'!$B$6)</f>
        <v>#DIV/0!</v>
      </c>
      <c r="N229">
        <v>2019</v>
      </c>
      <c r="O229" s="10">
        <f>'Summary Sheet'!$C$63*(1+((Inflation!B17-Inflation!$B$4)/Inflation!$B$4))</f>
        <v>0</v>
      </c>
      <c r="P229" s="10" t="e">
        <f>'Summary Sheet'!$C$26-'Summary Sheet'!$C$27</f>
        <v>#DIV/0!</v>
      </c>
      <c r="Q229" t="e">
        <f>(O229*P229)*'Summary Sheet'!$C$6</f>
        <v>#DIV/0!</v>
      </c>
      <c r="AA229">
        <v>2019</v>
      </c>
      <c r="AB229" s="10" t="e">
        <f>AB228*Inflation!B14/Inflation!$B$3</f>
        <v>#VALUE!</v>
      </c>
      <c r="AC229" s="10" t="e">
        <f>'Summary Sheet'!$D$26-'Summary Sheet'!$D$27</f>
        <v>#DIV/0!</v>
      </c>
      <c r="AD229" t="e">
        <f>(AB229*AC229)*'Summary Sheet'!$D$6</f>
        <v>#VALUE!</v>
      </c>
      <c r="AN229">
        <v>2019</v>
      </c>
      <c r="AO229" s="10" t="e">
        <f>$AO$219*Inflation!B14/Inflation!$B$3</f>
        <v>#VALUE!</v>
      </c>
      <c r="AP229" s="10" t="e">
        <f>'Summary Sheet'!$E$26-'Summary Sheet'!$E$27</f>
        <v>#DIV/0!</v>
      </c>
      <c r="AQ229" t="e">
        <f>(AO229*AP229)*'Summary Sheet'!$E$6</f>
        <v>#VALUE!</v>
      </c>
      <c r="BA229">
        <v>2019</v>
      </c>
      <c r="BB229" s="10" t="e">
        <f>$BB$219*Inflation!B14/Inflation!$B$3</f>
        <v>#VALUE!</v>
      </c>
      <c r="BC229" s="10" t="e">
        <f>'Summary Sheet'!$F$26-'Summary Sheet'!$F$27</f>
        <v>#DIV/0!</v>
      </c>
      <c r="BD229" t="e">
        <f>(BB229*BC229)*'Summary Sheet'!$F$6</f>
        <v>#VALUE!</v>
      </c>
      <c r="BN229">
        <v>2019</v>
      </c>
      <c r="BO229" s="10" t="e">
        <f>$BO$219*Inflation!B14/Inflation!$B$3</f>
        <v>#VALUE!</v>
      </c>
      <c r="BP229" s="10" t="e">
        <f>'Summary Sheet'!$G$26-'Summary Sheet'!$G$27</f>
        <v>#DIV/0!</v>
      </c>
      <c r="BQ229" t="e">
        <f>(BO229*BP229)*'Summary Sheet'!$G$6</f>
        <v>#VALUE!</v>
      </c>
    </row>
    <row r="230" spans="1:69" ht="12.75">
      <c r="A230">
        <v>2020</v>
      </c>
      <c r="B230" s="10">
        <f>'Summary Sheet'!$B$63*(1+((Inflation!B18-Inflation!$B$4)/Inflation!$B$4))</f>
        <v>0</v>
      </c>
      <c r="C230" s="10" t="e">
        <f>'Summary Sheet'!$B$26-'Summary Sheet'!$B$27</f>
        <v>#DIV/0!</v>
      </c>
      <c r="D230" t="e">
        <f>(B230*C230*'Summary Sheet'!$B$6)</f>
        <v>#DIV/0!</v>
      </c>
      <c r="N230">
        <v>2020</v>
      </c>
      <c r="O230" s="10">
        <f>'Summary Sheet'!$C$63*(1+((Inflation!B18-Inflation!$B$4)/Inflation!$B$4))</f>
        <v>0</v>
      </c>
      <c r="P230" s="10" t="e">
        <f>'Summary Sheet'!$C$26-'Summary Sheet'!$C$27</f>
        <v>#DIV/0!</v>
      </c>
      <c r="Q230" t="e">
        <f>(O230*P230)*'Summary Sheet'!$C$6</f>
        <v>#DIV/0!</v>
      </c>
      <c r="AA230">
        <v>2020</v>
      </c>
      <c r="AB230" s="10" t="e">
        <f>AB229*Inflation!B15/Inflation!$B$3</f>
        <v>#VALUE!</v>
      </c>
      <c r="AC230" s="10" t="e">
        <f>'Summary Sheet'!$D$26-'Summary Sheet'!$D$27</f>
        <v>#DIV/0!</v>
      </c>
      <c r="AD230" t="e">
        <f>(AB230*AC230)*'Summary Sheet'!$D$6</f>
        <v>#VALUE!</v>
      </c>
      <c r="AN230">
        <v>2020</v>
      </c>
      <c r="AO230" s="10" t="e">
        <f>$AO$219*Inflation!B15/Inflation!$B$3</f>
        <v>#VALUE!</v>
      </c>
      <c r="AP230" s="10" t="e">
        <f>'Summary Sheet'!$E$26-'Summary Sheet'!$E$27</f>
        <v>#DIV/0!</v>
      </c>
      <c r="AQ230" t="e">
        <f>(AO230*AP230)*'Summary Sheet'!$E$6</f>
        <v>#VALUE!</v>
      </c>
      <c r="BA230">
        <v>2020</v>
      </c>
      <c r="BB230" s="10" t="e">
        <f>$BB$219*Inflation!B15/Inflation!$B$3</f>
        <v>#VALUE!</v>
      </c>
      <c r="BC230" s="10" t="e">
        <f>'Summary Sheet'!$F$26-'Summary Sheet'!$F$27</f>
        <v>#DIV/0!</v>
      </c>
      <c r="BD230" t="e">
        <f>(BB230*BC230)*'Summary Sheet'!$F$6</f>
        <v>#VALUE!</v>
      </c>
      <c r="BN230">
        <v>2020</v>
      </c>
      <c r="BO230" s="10" t="e">
        <f>$BO$219*Inflation!B15/Inflation!$B$3</f>
        <v>#VALUE!</v>
      </c>
      <c r="BP230" s="10" t="e">
        <f>'Summary Sheet'!$G$26-'Summary Sheet'!$G$27</f>
        <v>#DIV/0!</v>
      </c>
      <c r="BQ230" t="e">
        <f>(BO230*BP230)*'Summary Sheet'!$G$6</f>
        <v>#VALUE!</v>
      </c>
    </row>
    <row r="231" spans="1:69" ht="12.75">
      <c r="A231">
        <v>2021</v>
      </c>
      <c r="B231" s="10">
        <f>'Summary Sheet'!$B$63*(1+((Inflation!B19-Inflation!$B$4)/Inflation!$B$4))</f>
        <v>0</v>
      </c>
      <c r="C231" s="10" t="e">
        <f>'Summary Sheet'!$B$26-'Summary Sheet'!$B$27</f>
        <v>#DIV/0!</v>
      </c>
      <c r="D231" t="e">
        <f>(B231*C231*'Summary Sheet'!$B$6)</f>
        <v>#DIV/0!</v>
      </c>
      <c r="N231">
        <v>2021</v>
      </c>
      <c r="O231" s="10">
        <f>'Summary Sheet'!$C$63*(1+((Inflation!B19-Inflation!$B$4)/Inflation!$B$4))</f>
        <v>0</v>
      </c>
      <c r="P231" s="10" t="e">
        <f>'Summary Sheet'!$C$26-'Summary Sheet'!$C$27</f>
        <v>#DIV/0!</v>
      </c>
      <c r="Q231" t="e">
        <f>(O231*P231)*'Summary Sheet'!$C$6</f>
        <v>#DIV/0!</v>
      </c>
      <c r="AA231">
        <v>2021</v>
      </c>
      <c r="AB231" s="10" t="e">
        <f>AB230*Inflation!B16/Inflation!$B$3</f>
        <v>#VALUE!</v>
      </c>
      <c r="AC231" s="10" t="e">
        <f>'Summary Sheet'!$D$26-'Summary Sheet'!$D$27</f>
        <v>#DIV/0!</v>
      </c>
      <c r="AD231" t="e">
        <f>(AB231*AC231)*'Summary Sheet'!$D$6</f>
        <v>#VALUE!</v>
      </c>
      <c r="AN231">
        <v>2021</v>
      </c>
      <c r="AO231" s="10" t="e">
        <f>$AO$219*Inflation!B16/Inflation!$B$3</f>
        <v>#VALUE!</v>
      </c>
      <c r="AP231" s="10" t="e">
        <f>'Summary Sheet'!$E$26-'Summary Sheet'!$E$27</f>
        <v>#DIV/0!</v>
      </c>
      <c r="AQ231" t="e">
        <f>(AO231*AP231)*'Summary Sheet'!$E$6</f>
        <v>#VALUE!</v>
      </c>
      <c r="BA231">
        <v>2021</v>
      </c>
      <c r="BB231" s="10" t="e">
        <f>$BB$219*Inflation!B16/Inflation!$B$3</f>
        <v>#VALUE!</v>
      </c>
      <c r="BC231" s="10" t="e">
        <f>'Summary Sheet'!$F$26-'Summary Sheet'!$F$27</f>
        <v>#DIV/0!</v>
      </c>
      <c r="BD231" t="e">
        <f>(BB231*BC231)*'Summary Sheet'!$F$6</f>
        <v>#VALUE!</v>
      </c>
      <c r="BN231">
        <v>2021</v>
      </c>
      <c r="BO231" s="10" t="e">
        <f>$BO$219*Inflation!B16/Inflation!$B$3</f>
        <v>#VALUE!</v>
      </c>
      <c r="BP231" s="10" t="e">
        <f>'Summary Sheet'!$G$26-'Summary Sheet'!$G$27</f>
        <v>#DIV/0!</v>
      </c>
      <c r="BQ231" t="e">
        <f>(BO231*BP231)*'Summary Sheet'!$G$6</f>
        <v>#VALUE!</v>
      </c>
    </row>
    <row r="232" spans="1:69" ht="12.75">
      <c r="A232">
        <v>2022</v>
      </c>
      <c r="B232" s="10">
        <f>'Summary Sheet'!$B$63*(1+((Inflation!B20-Inflation!$B$4)/Inflation!$B$4))</f>
        <v>0</v>
      </c>
      <c r="C232" s="10" t="e">
        <f>'Summary Sheet'!$B$26-'Summary Sheet'!$B$27</f>
        <v>#DIV/0!</v>
      </c>
      <c r="D232" t="e">
        <f>(B232*C232*'Summary Sheet'!$B$6)</f>
        <v>#DIV/0!</v>
      </c>
      <c r="N232">
        <v>2022</v>
      </c>
      <c r="O232" s="10">
        <f>'Summary Sheet'!$C$63*(1+((Inflation!B20-Inflation!$B$4)/Inflation!$B$4))</f>
        <v>0</v>
      </c>
      <c r="P232" s="10" t="e">
        <f>'Summary Sheet'!$C$26-'Summary Sheet'!$C$27</f>
        <v>#DIV/0!</v>
      </c>
      <c r="Q232" t="e">
        <f>(O232*P232)*'Summary Sheet'!$C$6</f>
        <v>#DIV/0!</v>
      </c>
      <c r="AA232">
        <v>2022</v>
      </c>
      <c r="AB232" s="10" t="e">
        <f>AB231*Inflation!B17/Inflation!$B$3</f>
        <v>#VALUE!</v>
      </c>
      <c r="AC232" s="10" t="e">
        <f>'Summary Sheet'!$D$26-'Summary Sheet'!$D$27</f>
        <v>#DIV/0!</v>
      </c>
      <c r="AD232" t="e">
        <f>(AB232*AC232)*'Summary Sheet'!$D$6</f>
        <v>#VALUE!</v>
      </c>
      <c r="AN232">
        <v>2022</v>
      </c>
      <c r="AO232" s="10" t="e">
        <f>$AO$219*Inflation!B17/Inflation!$B$3</f>
        <v>#VALUE!</v>
      </c>
      <c r="AP232" s="10" t="e">
        <f>'Summary Sheet'!$E$26-'Summary Sheet'!$E$27</f>
        <v>#DIV/0!</v>
      </c>
      <c r="AQ232" t="e">
        <f>(AO232*AP232)*'Summary Sheet'!$E$6</f>
        <v>#VALUE!</v>
      </c>
      <c r="BA232">
        <v>2022</v>
      </c>
      <c r="BB232" s="10" t="e">
        <f>$BB$219*Inflation!B17/Inflation!$B$3</f>
        <v>#VALUE!</v>
      </c>
      <c r="BC232" s="10" t="e">
        <f>'Summary Sheet'!$F$26-'Summary Sheet'!$F$27</f>
        <v>#DIV/0!</v>
      </c>
      <c r="BD232" t="e">
        <f>(BB232*BC232)*'Summary Sheet'!$F$6</f>
        <v>#VALUE!</v>
      </c>
      <c r="BN232">
        <v>2022</v>
      </c>
      <c r="BO232" s="10" t="e">
        <f>$BO$219*Inflation!B17/Inflation!$B$3</f>
        <v>#VALUE!</v>
      </c>
      <c r="BP232" s="10" t="e">
        <f>'Summary Sheet'!$G$26-'Summary Sheet'!$G$27</f>
        <v>#DIV/0!</v>
      </c>
      <c r="BQ232" t="e">
        <f>(BO232*BP232)*'Summary Sheet'!$G$6</f>
        <v>#VALUE!</v>
      </c>
    </row>
    <row r="233" spans="1:69" ht="12.75">
      <c r="A233">
        <v>2023</v>
      </c>
      <c r="B233" s="10">
        <f>'Summary Sheet'!$B$63*(1+((Inflation!B21-Inflation!$B$4)/Inflation!$B$4))</f>
        <v>0</v>
      </c>
      <c r="C233" s="10" t="e">
        <f>'Summary Sheet'!$B$26-'Summary Sheet'!$B$27</f>
        <v>#DIV/0!</v>
      </c>
      <c r="D233" t="e">
        <f>(B233*C233*'Summary Sheet'!$B$6)</f>
        <v>#DIV/0!</v>
      </c>
      <c r="N233">
        <v>2023</v>
      </c>
      <c r="O233" s="10">
        <f>'Summary Sheet'!$C$63*(1+((Inflation!B21-Inflation!$B$4)/Inflation!$B$4))</f>
        <v>0</v>
      </c>
      <c r="P233" s="10" t="e">
        <f>'Summary Sheet'!$C$26-'Summary Sheet'!$C$27</f>
        <v>#DIV/0!</v>
      </c>
      <c r="Q233" t="e">
        <f>(O233*P233)*'Summary Sheet'!$C$6</f>
        <v>#DIV/0!</v>
      </c>
      <c r="AA233">
        <v>2023</v>
      </c>
      <c r="AB233" s="10" t="e">
        <f>AB232*Inflation!B18/Inflation!$B$3</f>
        <v>#VALUE!</v>
      </c>
      <c r="AC233" s="10" t="e">
        <f>'Summary Sheet'!$D$26-'Summary Sheet'!$D$27</f>
        <v>#DIV/0!</v>
      </c>
      <c r="AD233" t="e">
        <f>(AB233*AC233)*'Summary Sheet'!$D$6</f>
        <v>#VALUE!</v>
      </c>
      <c r="AN233">
        <v>2023</v>
      </c>
      <c r="AO233" s="10" t="e">
        <f>$AO$219*Inflation!B18/Inflation!$B$3</f>
        <v>#VALUE!</v>
      </c>
      <c r="AP233" s="10" t="e">
        <f>'Summary Sheet'!$E$26-'Summary Sheet'!$E$27</f>
        <v>#DIV/0!</v>
      </c>
      <c r="AQ233" t="e">
        <f>(AO233*AP233)*'Summary Sheet'!$E$6</f>
        <v>#VALUE!</v>
      </c>
      <c r="BA233">
        <v>2023</v>
      </c>
      <c r="BB233" s="10" t="e">
        <f>$BB$219*Inflation!B18/Inflation!$B$3</f>
        <v>#VALUE!</v>
      </c>
      <c r="BC233" s="10" t="e">
        <f>'Summary Sheet'!$F$26-'Summary Sheet'!$F$27</f>
        <v>#DIV/0!</v>
      </c>
      <c r="BD233" t="e">
        <f>(BB233*BC233)*'Summary Sheet'!$F$6</f>
        <v>#VALUE!</v>
      </c>
      <c r="BN233">
        <v>2023</v>
      </c>
      <c r="BO233" s="10" t="e">
        <f>$BO$219*Inflation!B18/Inflation!$B$3</f>
        <v>#VALUE!</v>
      </c>
      <c r="BP233" s="10" t="e">
        <f>'Summary Sheet'!$G$26-'Summary Sheet'!$G$27</f>
        <v>#DIV/0!</v>
      </c>
      <c r="BQ233" t="e">
        <f>(BO233*BP233)*'Summary Sheet'!$G$6</f>
        <v>#VALUE!</v>
      </c>
    </row>
    <row r="234" spans="1:69" ht="12.75">
      <c r="A234">
        <v>2024</v>
      </c>
      <c r="B234" s="10">
        <f>'Summary Sheet'!$B$63*(1+((Inflation!B22-Inflation!$B$4)/Inflation!$B$4))</f>
        <v>0</v>
      </c>
      <c r="C234" s="10" t="e">
        <f>'Summary Sheet'!$B$26-'Summary Sheet'!$B$27</f>
        <v>#DIV/0!</v>
      </c>
      <c r="D234" t="e">
        <f>(B234*C234*'Summary Sheet'!$B$6)</f>
        <v>#DIV/0!</v>
      </c>
      <c r="N234">
        <v>2024</v>
      </c>
      <c r="O234" s="10">
        <f>'Summary Sheet'!$C$63*(1+((Inflation!B22-Inflation!$B$4)/Inflation!$B$4))</f>
        <v>0</v>
      </c>
      <c r="P234" s="10" t="e">
        <f>'Summary Sheet'!$C$26-'Summary Sheet'!$C$27</f>
        <v>#DIV/0!</v>
      </c>
      <c r="Q234" t="e">
        <f>(O234*P234)*'Summary Sheet'!$C$6</f>
        <v>#DIV/0!</v>
      </c>
      <c r="AA234">
        <v>2024</v>
      </c>
      <c r="AB234" s="10" t="e">
        <f>AB233*Inflation!B19/Inflation!$B$3</f>
        <v>#VALUE!</v>
      </c>
      <c r="AC234" s="10" t="e">
        <f>'Summary Sheet'!$D$26-'Summary Sheet'!$D$27</f>
        <v>#DIV/0!</v>
      </c>
      <c r="AD234" t="e">
        <f>(AB234*AC234)*'Summary Sheet'!$D$6</f>
        <v>#VALUE!</v>
      </c>
      <c r="AN234">
        <v>2024</v>
      </c>
      <c r="AO234" s="10" t="e">
        <f>$AO$219*Inflation!B19/Inflation!$B$3</f>
        <v>#VALUE!</v>
      </c>
      <c r="AP234" s="10" t="e">
        <f>'Summary Sheet'!$E$26-'Summary Sheet'!$E$27</f>
        <v>#DIV/0!</v>
      </c>
      <c r="AQ234" t="e">
        <f>(AO234*AP234)*'Summary Sheet'!$E$6</f>
        <v>#VALUE!</v>
      </c>
      <c r="BA234">
        <v>2024</v>
      </c>
      <c r="BB234" s="10" t="e">
        <f>$BB$219*Inflation!B19/Inflation!$B$3</f>
        <v>#VALUE!</v>
      </c>
      <c r="BC234" s="10" t="e">
        <f>'Summary Sheet'!$F$26-'Summary Sheet'!$F$27</f>
        <v>#DIV/0!</v>
      </c>
      <c r="BD234" t="e">
        <f>(BB234*BC234)*'Summary Sheet'!$F$6</f>
        <v>#VALUE!</v>
      </c>
      <c r="BN234">
        <v>2024</v>
      </c>
      <c r="BO234" s="10" t="e">
        <f>$BO$219*Inflation!B19/Inflation!$B$3</f>
        <v>#VALUE!</v>
      </c>
      <c r="BP234" s="10" t="e">
        <f>'Summary Sheet'!$G$26-'Summary Sheet'!$G$27</f>
        <v>#DIV/0!</v>
      </c>
      <c r="BQ234" t="e">
        <f>(BO234*BP234)*'Summary Sheet'!$G$6</f>
        <v>#VALUE!</v>
      </c>
    </row>
    <row r="235" spans="1:69" ht="12.75">
      <c r="A235">
        <v>2025</v>
      </c>
      <c r="B235" s="10">
        <f>'Summary Sheet'!$B$63*(1+((Inflation!B23-Inflation!$B$4)/Inflation!$B$4))</f>
        <v>0</v>
      </c>
      <c r="C235" s="10" t="e">
        <f>'Summary Sheet'!$B$26-'Summary Sheet'!$B$27</f>
        <v>#DIV/0!</v>
      </c>
      <c r="D235" t="e">
        <f>(B235*C235*'Summary Sheet'!$B$6)</f>
        <v>#DIV/0!</v>
      </c>
      <c r="N235">
        <v>2025</v>
      </c>
      <c r="O235" s="10">
        <f>'Summary Sheet'!$C$63*(1+((Inflation!B23-Inflation!$B$4)/Inflation!$B$4))</f>
        <v>0</v>
      </c>
      <c r="P235" s="10" t="e">
        <f>'Summary Sheet'!$C$26-'Summary Sheet'!$C$27</f>
        <v>#DIV/0!</v>
      </c>
      <c r="Q235" t="e">
        <f>(O235*P235)*'Summary Sheet'!$C$6</f>
        <v>#DIV/0!</v>
      </c>
      <c r="AA235">
        <v>2025</v>
      </c>
      <c r="AB235" s="10" t="e">
        <f>AB234*Inflation!B20/Inflation!$B$3</f>
        <v>#VALUE!</v>
      </c>
      <c r="AC235" s="10" t="e">
        <f>'Summary Sheet'!$D$26-'Summary Sheet'!$D$27</f>
        <v>#DIV/0!</v>
      </c>
      <c r="AD235" t="e">
        <f>(AB235*AC235)*'Summary Sheet'!$D$6</f>
        <v>#VALUE!</v>
      </c>
      <c r="AN235">
        <v>2025</v>
      </c>
      <c r="AO235" s="10" t="e">
        <f>$AO$219*Inflation!B20/Inflation!$B$3</f>
        <v>#VALUE!</v>
      </c>
      <c r="AP235" s="10" t="e">
        <f>'Summary Sheet'!$E$26-'Summary Sheet'!$E$27</f>
        <v>#DIV/0!</v>
      </c>
      <c r="AQ235" t="e">
        <f>(AO235*AP235)*'Summary Sheet'!$E$6</f>
        <v>#VALUE!</v>
      </c>
      <c r="BA235">
        <v>2025</v>
      </c>
      <c r="BB235" s="10" t="e">
        <f>$BB$219*Inflation!B20/Inflation!$B$3</f>
        <v>#VALUE!</v>
      </c>
      <c r="BC235" s="10" t="e">
        <f>'Summary Sheet'!$F$26-'Summary Sheet'!$F$27</f>
        <v>#DIV/0!</v>
      </c>
      <c r="BD235" t="e">
        <f>(BB235*BC235)*'Summary Sheet'!$F$6</f>
        <v>#VALUE!</v>
      </c>
      <c r="BN235">
        <v>2025</v>
      </c>
      <c r="BO235" s="10" t="e">
        <f>$BO$219*Inflation!B20/Inflation!$B$3</f>
        <v>#VALUE!</v>
      </c>
      <c r="BP235" s="10" t="e">
        <f>'Summary Sheet'!$G$26-'Summary Sheet'!$G$27</f>
        <v>#DIV/0!</v>
      </c>
      <c r="BQ235" t="e">
        <f>(BO235*BP235)*'Summary Sheet'!$G$6</f>
        <v>#VALUE!</v>
      </c>
    </row>
    <row r="236" spans="1:69" ht="12.75">
      <c r="A236">
        <v>2026</v>
      </c>
      <c r="B236" s="10">
        <f>'Summary Sheet'!$B$63*(1+((Inflation!B24-Inflation!$B$4)/Inflation!$B$4))</f>
        <v>0</v>
      </c>
      <c r="C236" s="10" t="e">
        <f>'Summary Sheet'!$B$26-'Summary Sheet'!$B$27</f>
        <v>#DIV/0!</v>
      </c>
      <c r="D236" t="e">
        <f>(B236*C236*'Summary Sheet'!$B$6)</f>
        <v>#DIV/0!</v>
      </c>
      <c r="N236">
        <v>2026</v>
      </c>
      <c r="O236" s="10">
        <f>'Summary Sheet'!$C$63*(1+((Inflation!B24-Inflation!$B$4)/Inflation!$B$4))</f>
        <v>0</v>
      </c>
      <c r="P236" s="10" t="e">
        <f>'Summary Sheet'!$C$26-'Summary Sheet'!$C$27</f>
        <v>#DIV/0!</v>
      </c>
      <c r="Q236" t="e">
        <f>(O236*P236)*'Summary Sheet'!$C$6</f>
        <v>#DIV/0!</v>
      </c>
      <c r="AA236">
        <v>2026</v>
      </c>
      <c r="AB236" s="10" t="e">
        <f>AB235*Inflation!B21/Inflation!$B$3</f>
        <v>#VALUE!</v>
      </c>
      <c r="AC236" s="10" t="e">
        <f>'Summary Sheet'!$D$26-'Summary Sheet'!$D$27</f>
        <v>#DIV/0!</v>
      </c>
      <c r="AD236" t="e">
        <f>(AB236*AC236)*'Summary Sheet'!$D$6</f>
        <v>#VALUE!</v>
      </c>
      <c r="AN236">
        <v>2026</v>
      </c>
      <c r="AO236" s="10" t="e">
        <f>$AO$219*Inflation!B21/Inflation!$B$3</f>
        <v>#VALUE!</v>
      </c>
      <c r="AP236" s="10" t="e">
        <f>'Summary Sheet'!$E$26-'Summary Sheet'!$E$27</f>
        <v>#DIV/0!</v>
      </c>
      <c r="AQ236" t="e">
        <f>(AO236*AP236)*'Summary Sheet'!$E$6</f>
        <v>#VALUE!</v>
      </c>
      <c r="BA236">
        <v>2026</v>
      </c>
      <c r="BB236" s="10" t="e">
        <f>$BB$219*Inflation!B21/Inflation!$B$3</f>
        <v>#VALUE!</v>
      </c>
      <c r="BC236" s="10" t="e">
        <f>'Summary Sheet'!$F$26-'Summary Sheet'!$F$27</f>
        <v>#DIV/0!</v>
      </c>
      <c r="BD236" t="e">
        <f>(BB236*BC236)*'Summary Sheet'!$F$6</f>
        <v>#VALUE!</v>
      </c>
      <c r="BN236">
        <v>2026</v>
      </c>
      <c r="BO236" s="10" t="e">
        <f>$BO$219*Inflation!B21/Inflation!$B$3</f>
        <v>#VALUE!</v>
      </c>
      <c r="BP236" s="10" t="e">
        <f>'Summary Sheet'!$G$26-'Summary Sheet'!$G$27</f>
        <v>#DIV/0!</v>
      </c>
      <c r="BQ236" t="e">
        <f>(BO236*BP236)*'Summary Sheet'!$G$6</f>
        <v>#VALUE!</v>
      </c>
    </row>
    <row r="237" spans="1:69" ht="12.75">
      <c r="A237">
        <v>2027</v>
      </c>
      <c r="B237" s="10">
        <f>'Summary Sheet'!$B$63*(1+((Inflation!B25-Inflation!$B$4)/Inflation!$B$4))</f>
        <v>0</v>
      </c>
      <c r="C237" s="10" t="e">
        <f>'Summary Sheet'!$B$26-'Summary Sheet'!$B$27</f>
        <v>#DIV/0!</v>
      </c>
      <c r="D237" t="e">
        <f>(B237*C237*'Summary Sheet'!$B$6)</f>
        <v>#DIV/0!</v>
      </c>
      <c r="N237">
        <v>2027</v>
      </c>
      <c r="O237" s="10">
        <f>'Summary Sheet'!$C$63*(1+((Inflation!B25-Inflation!$B$4)/Inflation!$B$4))</f>
        <v>0</v>
      </c>
      <c r="P237" s="10" t="e">
        <f>'Summary Sheet'!$C$26-'Summary Sheet'!$C$27</f>
        <v>#DIV/0!</v>
      </c>
      <c r="Q237" t="e">
        <f>(O237*P237)*'Summary Sheet'!$C$6</f>
        <v>#DIV/0!</v>
      </c>
      <c r="AA237">
        <v>2027</v>
      </c>
      <c r="AB237" s="10" t="e">
        <f>AB236*Inflation!B22/Inflation!$B$3</f>
        <v>#VALUE!</v>
      </c>
      <c r="AC237" s="10" t="e">
        <f>'Summary Sheet'!$D$26-'Summary Sheet'!$D$27</f>
        <v>#DIV/0!</v>
      </c>
      <c r="AD237" t="e">
        <f>(AB237*AC237)*'Summary Sheet'!$D$6</f>
        <v>#VALUE!</v>
      </c>
      <c r="AN237">
        <v>2027</v>
      </c>
      <c r="AO237" s="10" t="e">
        <f>$AO$219*Inflation!B22/Inflation!$B$3</f>
        <v>#VALUE!</v>
      </c>
      <c r="AP237" s="10" t="e">
        <f>'Summary Sheet'!$E$26-'Summary Sheet'!$E$27</f>
        <v>#DIV/0!</v>
      </c>
      <c r="AQ237" t="e">
        <f>(AO237*AP237)*'Summary Sheet'!$E$6</f>
        <v>#VALUE!</v>
      </c>
      <c r="BA237">
        <v>2027</v>
      </c>
      <c r="BB237" s="10" t="e">
        <f>$BB$219*Inflation!B22/Inflation!$B$3</f>
        <v>#VALUE!</v>
      </c>
      <c r="BC237" s="10" t="e">
        <f>'Summary Sheet'!$F$26-'Summary Sheet'!$F$27</f>
        <v>#DIV/0!</v>
      </c>
      <c r="BD237" t="e">
        <f>(BB237*BC237)*'Summary Sheet'!$F$6</f>
        <v>#VALUE!</v>
      </c>
      <c r="BN237">
        <v>2027</v>
      </c>
      <c r="BO237" s="10" t="e">
        <f>$BO$219*Inflation!B22/Inflation!$B$3</f>
        <v>#VALUE!</v>
      </c>
      <c r="BP237" s="10" t="e">
        <f>'Summary Sheet'!$G$26-'Summary Sheet'!$G$27</f>
        <v>#DIV/0!</v>
      </c>
      <c r="BQ237" t="e">
        <f>(BO237*BP237)*'Summary Sheet'!$G$6</f>
        <v>#VALUE!</v>
      </c>
    </row>
    <row r="238" spans="1:69" ht="12.75">
      <c r="A238">
        <v>2028</v>
      </c>
      <c r="B238" s="10">
        <f>'Summary Sheet'!$B$63*(1+((Inflation!B26-Inflation!$B$4)/Inflation!$B$4))</f>
        <v>0</v>
      </c>
      <c r="C238" s="10" t="e">
        <f>'Summary Sheet'!$B$26-'Summary Sheet'!$B$27</f>
        <v>#DIV/0!</v>
      </c>
      <c r="D238" t="e">
        <f>(B238*C238*'Summary Sheet'!$B$6)</f>
        <v>#DIV/0!</v>
      </c>
      <c r="N238">
        <v>2028</v>
      </c>
      <c r="O238" s="10">
        <f>'Summary Sheet'!$C$63*(1+((Inflation!B26-Inflation!$B$4)/Inflation!$B$4))</f>
        <v>0</v>
      </c>
      <c r="P238" s="10" t="e">
        <f>'Summary Sheet'!$C$26-'Summary Sheet'!$C$27</f>
        <v>#DIV/0!</v>
      </c>
      <c r="Q238" t="e">
        <f>(O238*P238)*'Summary Sheet'!$C$6</f>
        <v>#DIV/0!</v>
      </c>
      <c r="AA238">
        <v>2028</v>
      </c>
      <c r="AB238" s="10" t="e">
        <f>AB237*Inflation!B23/Inflation!$B$3</f>
        <v>#VALUE!</v>
      </c>
      <c r="AC238" s="10" t="e">
        <f>'Summary Sheet'!$D$26-'Summary Sheet'!$D$27</f>
        <v>#DIV/0!</v>
      </c>
      <c r="AD238" t="e">
        <f>(AB238*AC238)*'Summary Sheet'!$D$6</f>
        <v>#VALUE!</v>
      </c>
      <c r="AN238">
        <v>2028</v>
      </c>
      <c r="AO238" s="10" t="e">
        <f>$AO$219*Inflation!B23/Inflation!$B$3</f>
        <v>#VALUE!</v>
      </c>
      <c r="AP238" s="10" t="e">
        <f>'Summary Sheet'!$E$26-'Summary Sheet'!$E$27</f>
        <v>#DIV/0!</v>
      </c>
      <c r="AQ238" t="e">
        <f>(AO238*AP238)*'Summary Sheet'!$E$6</f>
        <v>#VALUE!</v>
      </c>
      <c r="BA238">
        <v>2028</v>
      </c>
      <c r="BB238" s="10" t="e">
        <f>$BB$219*Inflation!B23/Inflation!$B$3</f>
        <v>#VALUE!</v>
      </c>
      <c r="BC238" s="10" t="e">
        <f>'Summary Sheet'!$F$26-'Summary Sheet'!$F$27</f>
        <v>#DIV/0!</v>
      </c>
      <c r="BD238" t="e">
        <f>(BB238*BC238)*'Summary Sheet'!$F$6</f>
        <v>#VALUE!</v>
      </c>
      <c r="BN238">
        <v>2028</v>
      </c>
      <c r="BO238" s="10" t="e">
        <f>$BO$219*Inflation!B23/Inflation!$B$3</f>
        <v>#VALUE!</v>
      </c>
      <c r="BP238" s="10" t="e">
        <f>'Summary Sheet'!$G$26-'Summary Sheet'!$G$27</f>
        <v>#DIV/0!</v>
      </c>
      <c r="BQ238" t="e">
        <f>(BO238*BP238)*'Summary Sheet'!$G$6</f>
        <v>#VALUE!</v>
      </c>
    </row>
    <row r="240" spans="3:69" ht="12.75">
      <c r="C240" t="s">
        <v>170</v>
      </c>
      <c r="D240" t="e">
        <f>SUM(D219:D238)</f>
        <v>#DIV/0!</v>
      </c>
      <c r="P240" t="s">
        <v>170</v>
      </c>
      <c r="Q240" t="e">
        <f>SUM(Q219:Q238)</f>
        <v>#DIV/0!</v>
      </c>
      <c r="AC240" t="s">
        <v>170</v>
      </c>
      <c r="AD240" t="e">
        <f>SUM(AD219:AD238)</f>
        <v>#DIV/0!</v>
      </c>
      <c r="AP240" t="s">
        <v>170</v>
      </c>
      <c r="AQ240" t="e">
        <f>SUM(AQ219:AQ238)</f>
        <v>#DIV/0!</v>
      </c>
      <c r="BC240" t="s">
        <v>170</v>
      </c>
      <c r="BD240" t="e">
        <f>SUM(BD219:BD238)</f>
        <v>#DIV/0!</v>
      </c>
      <c r="BP240" t="s">
        <v>170</v>
      </c>
      <c r="BQ240" t="e">
        <f>SUM(BQ219:BQ238)</f>
        <v>#DIV/0!</v>
      </c>
    </row>
    <row r="241" spans="3:69" ht="12.75">
      <c r="C241" t="s">
        <v>174</v>
      </c>
      <c r="D241" s="8" t="e">
        <f>NPV('Summary Sheet'!$B$67,D219:D238)</f>
        <v>#DIV/0!</v>
      </c>
      <c r="P241" t="s">
        <v>174</v>
      </c>
      <c r="Q241" s="8" t="e">
        <f>NPV('Summary Sheet'!$C$67,Q219:Q238)</f>
        <v>#DIV/0!</v>
      </c>
      <c r="AC241" t="s">
        <v>174</v>
      </c>
      <c r="AD241" s="8" t="e">
        <f>NPV('Summary Sheet'!$D$67,AD219:AD238)</f>
        <v>#DIV/0!</v>
      </c>
      <c r="AP241" t="s">
        <v>174</v>
      </c>
      <c r="AQ241" s="8" t="e">
        <f>NPV('Summary Sheet'!$E$67,AQ219:AQ238)</f>
        <v>#DIV/0!</v>
      </c>
      <c r="BC241" t="s">
        <v>174</v>
      </c>
      <c r="BD241" s="8" t="e">
        <f>NPV('Summary Sheet'!$F$67,BD219:BD238)</f>
        <v>#DIV/0!</v>
      </c>
      <c r="BP241" t="s">
        <v>174</v>
      </c>
      <c r="BQ241" s="8" t="e">
        <f>NPV('Summary Sheet'!$G$67,BQ219:BQ238)</f>
        <v>#DIV/0!</v>
      </c>
    </row>
    <row r="246" spans="1:72" ht="12.75">
      <c r="A246" s="246" t="s">
        <v>752</v>
      </c>
      <c r="B246" s="245"/>
      <c r="C246" s="245"/>
      <c r="D246" s="245"/>
      <c r="E246" s="245"/>
      <c r="F246" s="12"/>
      <c r="G246" s="12"/>
      <c r="N246" s="246" t="s">
        <v>752</v>
      </c>
      <c r="O246" s="245"/>
      <c r="P246" s="245"/>
      <c r="Q246" s="245"/>
      <c r="R246" s="245"/>
      <c r="S246" s="12"/>
      <c r="T246" s="12"/>
      <c r="AA246" s="246" t="s">
        <v>752</v>
      </c>
      <c r="AB246" s="245"/>
      <c r="AC246" s="245"/>
      <c r="AD246" s="245"/>
      <c r="AE246" s="245"/>
      <c r="AF246" s="12"/>
      <c r="AG246" s="12"/>
      <c r="AN246" s="246" t="s">
        <v>752</v>
      </c>
      <c r="AO246" s="245"/>
      <c r="AP246" s="245"/>
      <c r="AQ246" s="245"/>
      <c r="AR246" s="245"/>
      <c r="AS246" s="12"/>
      <c r="AT246" s="12"/>
      <c r="BA246" s="246" t="s">
        <v>752</v>
      </c>
      <c r="BB246" s="245"/>
      <c r="BC246" s="245"/>
      <c r="BD246" s="245"/>
      <c r="BE246" s="245"/>
      <c r="BF246" s="12"/>
      <c r="BG246" s="12"/>
      <c r="BN246" s="246" t="s">
        <v>752</v>
      </c>
      <c r="BO246" s="245"/>
      <c r="BP246" s="245"/>
      <c r="BQ246" s="245"/>
      <c r="BR246" s="245"/>
      <c r="BS246" s="12"/>
      <c r="BT246" s="12"/>
    </row>
    <row r="247" spans="1:69" ht="38.25">
      <c r="A247" s="7" t="s">
        <v>159</v>
      </c>
      <c r="B247" s="7" t="s">
        <v>753</v>
      </c>
      <c r="C247" s="7" t="s">
        <v>754</v>
      </c>
      <c r="D247" s="7" t="s">
        <v>755</v>
      </c>
      <c r="N247" s="7" t="s">
        <v>159</v>
      </c>
      <c r="O247" s="7" t="s">
        <v>753</v>
      </c>
      <c r="P247" s="7" t="s">
        <v>754</v>
      </c>
      <c r="Q247" s="7" t="s">
        <v>755</v>
      </c>
      <c r="AA247" s="7" t="s">
        <v>159</v>
      </c>
      <c r="AB247" s="7" t="s">
        <v>753</v>
      </c>
      <c r="AC247" s="7" t="s">
        <v>754</v>
      </c>
      <c r="AD247" s="7" t="s">
        <v>755</v>
      </c>
      <c r="AN247" s="7" t="s">
        <v>159</v>
      </c>
      <c r="AO247" s="7" t="s">
        <v>753</v>
      </c>
      <c r="AP247" s="7" t="s">
        <v>754</v>
      </c>
      <c r="AQ247" s="7" t="s">
        <v>755</v>
      </c>
      <c r="BA247" s="7" t="s">
        <v>159</v>
      </c>
      <c r="BB247" s="7" t="s">
        <v>753</v>
      </c>
      <c r="BC247" s="7" t="s">
        <v>754</v>
      </c>
      <c r="BD247" s="7" t="s">
        <v>755</v>
      </c>
      <c r="BN247" s="7" t="s">
        <v>159</v>
      </c>
      <c r="BO247" s="7" t="s">
        <v>753</v>
      </c>
      <c r="BP247" s="7" t="s">
        <v>754</v>
      </c>
      <c r="BQ247" s="7" t="s">
        <v>755</v>
      </c>
    </row>
    <row r="248" spans="1:69" ht="12.75">
      <c r="A248">
        <v>2009</v>
      </c>
      <c r="B248" s="10">
        <f>'Capacity Prices'!C6</f>
        <v>109.04010000000002</v>
      </c>
      <c r="C248" s="10">
        <f>'Summary Sheet'!$B$38*'Summary Sheet'!$B$6</f>
        <v>0</v>
      </c>
      <c r="D248">
        <f aca="true" t="shared" si="41" ref="D248:D267">C248*B248*0.15</f>
        <v>0</v>
      </c>
      <c r="N248">
        <v>2009</v>
      </c>
      <c r="O248" s="10">
        <f>'Capacity Prices'!C6</f>
        <v>109.04010000000002</v>
      </c>
      <c r="P248" s="10">
        <v>0</v>
      </c>
      <c r="Q248">
        <v>0</v>
      </c>
      <c r="AA248">
        <v>2009</v>
      </c>
      <c r="AB248" s="10">
        <f>'Capacity Prices'!C6</f>
        <v>109.04010000000002</v>
      </c>
      <c r="AC248" s="10">
        <f>'Summary Sheet'!$D$38*'Summary Sheet'!$D$6</f>
        <v>0</v>
      </c>
      <c r="AD248">
        <f>AC248*AB248*0.15</f>
        <v>0</v>
      </c>
      <c r="AN248">
        <v>2009</v>
      </c>
      <c r="AO248" s="10">
        <f>'Capacity Prices'!C6</f>
        <v>109.04010000000002</v>
      </c>
      <c r="AP248" s="10">
        <f>'Summary Sheet'!$E$38*'Summary Sheet'!$E$6</f>
        <v>0</v>
      </c>
      <c r="AQ248">
        <f>AP248*AO248*0.15</f>
        <v>0</v>
      </c>
      <c r="BA248">
        <v>2009</v>
      </c>
      <c r="BB248" s="10">
        <f>'Capacity Prices'!C6</f>
        <v>109.04010000000002</v>
      </c>
      <c r="BC248" s="10">
        <f>'Summary Sheet'!$F$38*'Summary Sheet'!$F$6</f>
        <v>0</v>
      </c>
      <c r="BD248">
        <f>BC248*BB248*0.15</f>
        <v>0</v>
      </c>
      <c r="BN248">
        <v>2009</v>
      </c>
      <c r="BO248" s="10">
        <f>'Capacity Prices'!C6</f>
        <v>109.04010000000002</v>
      </c>
      <c r="BP248" s="10">
        <f>'Summary Sheet'!$G$38*'Summary Sheet'!$G$6</f>
        <v>0</v>
      </c>
      <c r="BQ248">
        <f>BP248*BO248*0.15</f>
        <v>0</v>
      </c>
    </row>
    <row r="249" spans="1:69" ht="12.75">
      <c r="A249">
        <v>2010</v>
      </c>
      <c r="B249" s="10">
        <f>'Capacity Prices'!C7</f>
        <v>114.4056</v>
      </c>
      <c r="C249" s="10">
        <f>'Summary Sheet'!$B$38*'Summary Sheet'!$B$6</f>
        <v>0</v>
      </c>
      <c r="D249">
        <f t="shared" si="41"/>
        <v>0</v>
      </c>
      <c r="N249">
        <v>2010</v>
      </c>
      <c r="O249" s="10">
        <f>'Capacity Prices'!C7</f>
        <v>114.4056</v>
      </c>
      <c r="P249" s="10">
        <f>'Summary Sheet'!$C$38*'Summary Sheet'!$C$6</f>
        <v>0</v>
      </c>
      <c r="Q249">
        <f aca="true" t="shared" si="42" ref="Q249:Q267">P249*O249*0.15</f>
        <v>0</v>
      </c>
      <c r="AA249">
        <v>2010</v>
      </c>
      <c r="AB249" s="10">
        <f>'Capacity Prices'!C7</f>
        <v>114.4056</v>
      </c>
      <c r="AC249" s="10">
        <f>'Summary Sheet'!$D$38*'Summary Sheet'!$D$6</f>
        <v>0</v>
      </c>
      <c r="AD249">
        <f aca="true" t="shared" si="43" ref="AD249:AD267">AC249*AB249*0.15</f>
        <v>0</v>
      </c>
      <c r="AN249">
        <v>2010</v>
      </c>
      <c r="AO249" s="10">
        <f>'Capacity Prices'!C7</f>
        <v>114.4056</v>
      </c>
      <c r="AP249" s="10">
        <f>'Summary Sheet'!$E$38*'Summary Sheet'!$E$6</f>
        <v>0</v>
      </c>
      <c r="AQ249">
        <f aca="true" t="shared" si="44" ref="AQ249:AQ267">AP249*AO249*0.15</f>
        <v>0</v>
      </c>
      <c r="BA249">
        <v>2010</v>
      </c>
      <c r="BB249" s="10">
        <f>'Capacity Prices'!C7</f>
        <v>114.4056</v>
      </c>
      <c r="BC249" s="10">
        <f>'Summary Sheet'!$F$38*'Summary Sheet'!$F$6</f>
        <v>0</v>
      </c>
      <c r="BD249">
        <f aca="true" t="shared" si="45" ref="BD249:BD267">BC249*BB249*0.15</f>
        <v>0</v>
      </c>
      <c r="BN249">
        <v>2010</v>
      </c>
      <c r="BO249" s="10">
        <f>'Capacity Prices'!C7</f>
        <v>114.4056</v>
      </c>
      <c r="BP249" s="10">
        <f>'Summary Sheet'!$G$38*'Summary Sheet'!$G$6</f>
        <v>0</v>
      </c>
      <c r="BQ249">
        <f aca="true" t="shared" si="46" ref="BQ249:BQ267">BP249*BO249*0.15</f>
        <v>0</v>
      </c>
    </row>
    <row r="250" spans="1:69" ht="12.75">
      <c r="A250">
        <v>2011</v>
      </c>
      <c r="B250" s="10">
        <f>'Capacity Prices'!C8</f>
        <v>116.21016</v>
      </c>
      <c r="C250" s="10">
        <f>'Summary Sheet'!$B$38*'Summary Sheet'!$B$6</f>
        <v>0</v>
      </c>
      <c r="D250">
        <f t="shared" si="41"/>
        <v>0</v>
      </c>
      <c r="N250">
        <v>2011</v>
      </c>
      <c r="O250" s="10">
        <f>'Capacity Prices'!C8</f>
        <v>116.21016</v>
      </c>
      <c r="P250" s="10">
        <f>'Summary Sheet'!$C$38*'Summary Sheet'!$C$6</f>
        <v>0</v>
      </c>
      <c r="Q250">
        <f t="shared" si="42"/>
        <v>0</v>
      </c>
      <c r="AA250">
        <v>2011</v>
      </c>
      <c r="AB250" s="10">
        <f>'Capacity Prices'!C8</f>
        <v>116.21016</v>
      </c>
      <c r="AC250" s="10">
        <f>'Summary Sheet'!$D$38*'Summary Sheet'!$D$6</f>
        <v>0</v>
      </c>
      <c r="AD250">
        <f t="shared" si="43"/>
        <v>0</v>
      </c>
      <c r="AN250">
        <v>2011</v>
      </c>
      <c r="AO250" s="10">
        <f>'Capacity Prices'!C8</f>
        <v>116.21016</v>
      </c>
      <c r="AP250" s="10">
        <f>'Summary Sheet'!$E$38*'Summary Sheet'!$E$6</f>
        <v>0</v>
      </c>
      <c r="AQ250">
        <f t="shared" si="44"/>
        <v>0</v>
      </c>
      <c r="BA250">
        <v>2011</v>
      </c>
      <c r="BB250" s="10">
        <f>'Capacity Prices'!C8</f>
        <v>116.21016</v>
      </c>
      <c r="BC250" s="10">
        <f>'Summary Sheet'!$F$38*'Summary Sheet'!$F$6</f>
        <v>0</v>
      </c>
      <c r="BD250">
        <f t="shared" si="45"/>
        <v>0</v>
      </c>
      <c r="BN250">
        <v>2011</v>
      </c>
      <c r="BO250" s="10">
        <f>'Capacity Prices'!C8</f>
        <v>116.21016</v>
      </c>
      <c r="BP250" s="10">
        <f>'Summary Sheet'!$G$38*'Summary Sheet'!$G$6</f>
        <v>0</v>
      </c>
      <c r="BQ250">
        <f t="shared" si="46"/>
        <v>0</v>
      </c>
    </row>
    <row r="251" spans="1:69" ht="12.75">
      <c r="A251">
        <v>2012</v>
      </c>
      <c r="B251" s="10">
        <f>'Capacity Prices'!C9</f>
        <v>118.01472</v>
      </c>
      <c r="C251" s="10">
        <f>'Summary Sheet'!$B$38*'Summary Sheet'!$B$6</f>
        <v>0</v>
      </c>
      <c r="D251">
        <f t="shared" si="41"/>
        <v>0</v>
      </c>
      <c r="N251">
        <v>2012</v>
      </c>
      <c r="O251" s="10">
        <f>'Capacity Prices'!C9</f>
        <v>118.01472</v>
      </c>
      <c r="P251" s="10">
        <f>'Summary Sheet'!$C$38*'Summary Sheet'!$C$6</f>
        <v>0</v>
      </c>
      <c r="Q251">
        <f t="shared" si="42"/>
        <v>0</v>
      </c>
      <c r="AA251">
        <v>2012</v>
      </c>
      <c r="AB251" s="10">
        <f>'Capacity Prices'!C9</f>
        <v>118.01472</v>
      </c>
      <c r="AC251" s="10">
        <f>'Summary Sheet'!$D$38*'Summary Sheet'!$D$6</f>
        <v>0</v>
      </c>
      <c r="AD251">
        <f t="shared" si="43"/>
        <v>0</v>
      </c>
      <c r="AN251">
        <v>2012</v>
      </c>
      <c r="AO251" s="10">
        <f>'Capacity Prices'!C9</f>
        <v>118.01472</v>
      </c>
      <c r="AP251" s="10">
        <f>'Summary Sheet'!$E$38*'Summary Sheet'!$E$6</f>
        <v>0</v>
      </c>
      <c r="AQ251">
        <f t="shared" si="44"/>
        <v>0</v>
      </c>
      <c r="BA251">
        <v>2012</v>
      </c>
      <c r="BB251" s="10">
        <f>'Capacity Prices'!C9</f>
        <v>118.01472</v>
      </c>
      <c r="BC251" s="10">
        <f>'Summary Sheet'!$F$38*'Summary Sheet'!$F$6</f>
        <v>0</v>
      </c>
      <c r="BD251">
        <f t="shared" si="45"/>
        <v>0</v>
      </c>
      <c r="BN251">
        <v>2012</v>
      </c>
      <c r="BO251" s="10">
        <f>'Capacity Prices'!C9</f>
        <v>118.01472</v>
      </c>
      <c r="BP251" s="10">
        <f>'Summary Sheet'!$G$38*'Summary Sheet'!$G$6</f>
        <v>0</v>
      </c>
      <c r="BQ251">
        <f t="shared" si="46"/>
        <v>0</v>
      </c>
    </row>
    <row r="252" spans="1:69" ht="12.75">
      <c r="A252">
        <v>2013</v>
      </c>
      <c r="B252" s="10">
        <f>'Capacity Prices'!C10</f>
        <v>119.81927999999999</v>
      </c>
      <c r="C252" s="10">
        <f>'Summary Sheet'!$B$38*'Summary Sheet'!$B$6</f>
        <v>0</v>
      </c>
      <c r="D252">
        <f t="shared" si="41"/>
        <v>0</v>
      </c>
      <c r="N252">
        <v>2013</v>
      </c>
      <c r="O252" s="10">
        <f>'Capacity Prices'!C10</f>
        <v>119.81927999999999</v>
      </c>
      <c r="P252" s="10">
        <f>'Summary Sheet'!$C$38*'Summary Sheet'!$C$6</f>
        <v>0</v>
      </c>
      <c r="Q252">
        <f t="shared" si="42"/>
        <v>0</v>
      </c>
      <c r="AA252">
        <v>2013</v>
      </c>
      <c r="AB252" s="10">
        <f>'Capacity Prices'!C10</f>
        <v>119.81927999999999</v>
      </c>
      <c r="AC252" s="10">
        <f>'Summary Sheet'!$D$38*'Summary Sheet'!$D$6</f>
        <v>0</v>
      </c>
      <c r="AD252">
        <f t="shared" si="43"/>
        <v>0</v>
      </c>
      <c r="AN252">
        <v>2013</v>
      </c>
      <c r="AO252" s="10">
        <f>'Capacity Prices'!C10</f>
        <v>119.81927999999999</v>
      </c>
      <c r="AP252" s="10">
        <f>'Summary Sheet'!$E$38*'Summary Sheet'!$E$6</f>
        <v>0</v>
      </c>
      <c r="AQ252">
        <f t="shared" si="44"/>
        <v>0</v>
      </c>
      <c r="BA252">
        <v>2013</v>
      </c>
      <c r="BB252" s="10">
        <f>'Capacity Prices'!C10</f>
        <v>119.81927999999999</v>
      </c>
      <c r="BC252" s="10">
        <f>'Summary Sheet'!$F$38*'Summary Sheet'!$F$6</f>
        <v>0</v>
      </c>
      <c r="BD252">
        <f t="shared" si="45"/>
        <v>0</v>
      </c>
      <c r="BN252">
        <v>2013</v>
      </c>
      <c r="BO252" s="10">
        <f>'Capacity Prices'!C10</f>
        <v>119.81927999999999</v>
      </c>
      <c r="BP252" s="10">
        <f>'Summary Sheet'!$G$38*'Summary Sheet'!$G$6</f>
        <v>0</v>
      </c>
      <c r="BQ252">
        <f t="shared" si="46"/>
        <v>0</v>
      </c>
    </row>
    <row r="253" spans="1:69" ht="12.75">
      <c r="A253">
        <v>2014</v>
      </c>
      <c r="B253" s="10">
        <f>'Capacity Prices'!C11</f>
        <v>121.62383999999999</v>
      </c>
      <c r="C253" s="10">
        <f>'Summary Sheet'!$B$38*'Summary Sheet'!$B$6</f>
        <v>0</v>
      </c>
      <c r="D253">
        <f t="shared" si="41"/>
        <v>0</v>
      </c>
      <c r="N253">
        <v>2014</v>
      </c>
      <c r="O253" s="10">
        <f>'Capacity Prices'!C11</f>
        <v>121.62383999999999</v>
      </c>
      <c r="P253" s="10">
        <f>'Summary Sheet'!$C$38*'Summary Sheet'!$C$6</f>
        <v>0</v>
      </c>
      <c r="Q253">
        <f t="shared" si="42"/>
        <v>0</v>
      </c>
      <c r="AA253">
        <v>2014</v>
      </c>
      <c r="AB253" s="10">
        <f>'Capacity Prices'!C11</f>
        <v>121.62383999999999</v>
      </c>
      <c r="AC253" s="10">
        <f>'Summary Sheet'!$D$38*'Summary Sheet'!$D$6</f>
        <v>0</v>
      </c>
      <c r="AD253">
        <f t="shared" si="43"/>
        <v>0</v>
      </c>
      <c r="AN253">
        <v>2014</v>
      </c>
      <c r="AO253" s="10">
        <f>'Capacity Prices'!C11</f>
        <v>121.62383999999999</v>
      </c>
      <c r="AP253" s="10">
        <f>'Summary Sheet'!$E$38*'Summary Sheet'!$E$6</f>
        <v>0</v>
      </c>
      <c r="AQ253">
        <f t="shared" si="44"/>
        <v>0</v>
      </c>
      <c r="BA253">
        <v>2014</v>
      </c>
      <c r="BB253" s="10">
        <f>'Capacity Prices'!C11</f>
        <v>121.62383999999999</v>
      </c>
      <c r="BC253" s="10">
        <f>'Summary Sheet'!$F$38*'Summary Sheet'!$F$6</f>
        <v>0</v>
      </c>
      <c r="BD253">
        <f t="shared" si="45"/>
        <v>0</v>
      </c>
      <c r="BN253">
        <v>2014</v>
      </c>
      <c r="BO253" s="10">
        <f>'Capacity Prices'!C11</f>
        <v>121.62383999999999</v>
      </c>
      <c r="BP253" s="10">
        <f>'Summary Sheet'!$G$38*'Summary Sheet'!$G$6</f>
        <v>0</v>
      </c>
      <c r="BQ253">
        <f t="shared" si="46"/>
        <v>0</v>
      </c>
    </row>
    <row r="254" spans="1:69" ht="12.75">
      <c r="A254">
        <v>2015</v>
      </c>
      <c r="B254" s="10">
        <f>'Capacity Prices'!C12</f>
        <v>123.4284</v>
      </c>
      <c r="C254" s="10">
        <f>'Summary Sheet'!$B$38*'Summary Sheet'!$B$6</f>
        <v>0</v>
      </c>
      <c r="D254">
        <f t="shared" si="41"/>
        <v>0</v>
      </c>
      <c r="N254">
        <v>2015</v>
      </c>
      <c r="O254" s="10">
        <f>'Capacity Prices'!C12</f>
        <v>123.4284</v>
      </c>
      <c r="P254" s="10">
        <f>'Summary Sheet'!$C$38*'Summary Sheet'!$C$6</f>
        <v>0</v>
      </c>
      <c r="Q254">
        <f t="shared" si="42"/>
        <v>0</v>
      </c>
      <c r="AA254">
        <v>2015</v>
      </c>
      <c r="AB254" s="10">
        <f>'Capacity Prices'!C12</f>
        <v>123.4284</v>
      </c>
      <c r="AC254" s="10">
        <f>'Summary Sheet'!$D$38*'Summary Sheet'!$D$6</f>
        <v>0</v>
      </c>
      <c r="AD254">
        <f t="shared" si="43"/>
        <v>0</v>
      </c>
      <c r="AN254">
        <v>2015</v>
      </c>
      <c r="AO254" s="10">
        <f>'Capacity Prices'!C12</f>
        <v>123.4284</v>
      </c>
      <c r="AP254" s="10">
        <f>'Summary Sheet'!$E$38*'Summary Sheet'!$E$6</f>
        <v>0</v>
      </c>
      <c r="AQ254">
        <f t="shared" si="44"/>
        <v>0</v>
      </c>
      <c r="BA254">
        <v>2015</v>
      </c>
      <c r="BB254" s="10">
        <f>'Capacity Prices'!C12</f>
        <v>123.4284</v>
      </c>
      <c r="BC254" s="10">
        <f>'Summary Sheet'!$F$38*'Summary Sheet'!$F$6</f>
        <v>0</v>
      </c>
      <c r="BD254">
        <f t="shared" si="45"/>
        <v>0</v>
      </c>
      <c r="BN254">
        <v>2015</v>
      </c>
      <c r="BO254" s="10">
        <f>'Capacity Prices'!C12</f>
        <v>123.4284</v>
      </c>
      <c r="BP254" s="10">
        <f>'Summary Sheet'!$G$38*'Summary Sheet'!$G$6</f>
        <v>0</v>
      </c>
      <c r="BQ254">
        <f t="shared" si="46"/>
        <v>0</v>
      </c>
    </row>
    <row r="255" spans="1:69" ht="12.75">
      <c r="A255">
        <v>2016</v>
      </c>
      <c r="B255" s="10">
        <f>'Capacity Prices'!C13</f>
        <v>131.66279999999998</v>
      </c>
      <c r="C255" s="10">
        <f>'Summary Sheet'!$B$38*'Summary Sheet'!$B$6</f>
        <v>0</v>
      </c>
      <c r="D255">
        <f t="shared" si="41"/>
        <v>0</v>
      </c>
      <c r="N255">
        <v>2016</v>
      </c>
      <c r="O255" s="10">
        <f>'Capacity Prices'!C13</f>
        <v>131.66279999999998</v>
      </c>
      <c r="P255" s="10">
        <f>'Summary Sheet'!$C$38*'Summary Sheet'!$C$6</f>
        <v>0</v>
      </c>
      <c r="Q255">
        <f t="shared" si="42"/>
        <v>0</v>
      </c>
      <c r="AA255">
        <v>2016</v>
      </c>
      <c r="AB255" s="10">
        <f>'Capacity Prices'!C13</f>
        <v>131.66279999999998</v>
      </c>
      <c r="AC255" s="10">
        <f>'Summary Sheet'!$D$38*'Summary Sheet'!$D$6</f>
        <v>0</v>
      </c>
      <c r="AD255">
        <f t="shared" si="43"/>
        <v>0</v>
      </c>
      <c r="AN255">
        <v>2016</v>
      </c>
      <c r="AO255" s="10">
        <f>'Capacity Prices'!C13</f>
        <v>131.66279999999998</v>
      </c>
      <c r="AP255" s="10">
        <f>'Summary Sheet'!$E$38*'Summary Sheet'!$E$6</f>
        <v>0</v>
      </c>
      <c r="AQ255">
        <f t="shared" si="44"/>
        <v>0</v>
      </c>
      <c r="BA255">
        <v>2016</v>
      </c>
      <c r="BB255" s="10">
        <f>'Capacity Prices'!C13</f>
        <v>131.66279999999998</v>
      </c>
      <c r="BC255" s="10">
        <f>'Summary Sheet'!$F$38*'Summary Sheet'!$F$6</f>
        <v>0</v>
      </c>
      <c r="BD255">
        <f t="shared" si="45"/>
        <v>0</v>
      </c>
      <c r="BN255">
        <v>2016</v>
      </c>
      <c r="BO255" s="10">
        <f>'Capacity Prices'!C13</f>
        <v>131.66279999999998</v>
      </c>
      <c r="BP255" s="10">
        <f>'Summary Sheet'!$G$38*'Summary Sheet'!$G$6</f>
        <v>0</v>
      </c>
      <c r="BQ255">
        <f t="shared" si="46"/>
        <v>0</v>
      </c>
    </row>
    <row r="256" spans="1:69" ht="12.75">
      <c r="A256">
        <v>2017</v>
      </c>
      <c r="B256" s="10">
        <f>'Capacity Prices'!C14</f>
        <v>139.89719999999997</v>
      </c>
      <c r="C256" s="10">
        <f>'Summary Sheet'!$B$38*'Summary Sheet'!$B$6</f>
        <v>0</v>
      </c>
      <c r="D256">
        <f t="shared" si="41"/>
        <v>0</v>
      </c>
      <c r="N256">
        <v>2017</v>
      </c>
      <c r="O256" s="10">
        <f>'Capacity Prices'!C14</f>
        <v>139.89719999999997</v>
      </c>
      <c r="P256" s="10">
        <f>'Summary Sheet'!$C$38*'Summary Sheet'!$C$6</f>
        <v>0</v>
      </c>
      <c r="Q256">
        <f t="shared" si="42"/>
        <v>0</v>
      </c>
      <c r="AA256">
        <v>2017</v>
      </c>
      <c r="AB256" s="10">
        <f>'Capacity Prices'!C14</f>
        <v>139.89719999999997</v>
      </c>
      <c r="AC256" s="10">
        <f>'Summary Sheet'!$D$38*'Summary Sheet'!$D$6</f>
        <v>0</v>
      </c>
      <c r="AD256">
        <f t="shared" si="43"/>
        <v>0</v>
      </c>
      <c r="AN256">
        <v>2017</v>
      </c>
      <c r="AO256" s="10">
        <f>'Capacity Prices'!C14</f>
        <v>139.89719999999997</v>
      </c>
      <c r="AP256" s="10">
        <f>'Summary Sheet'!$E$38*'Summary Sheet'!$E$6</f>
        <v>0</v>
      </c>
      <c r="AQ256">
        <f t="shared" si="44"/>
        <v>0</v>
      </c>
      <c r="BA256">
        <v>2017</v>
      </c>
      <c r="BB256" s="10">
        <f>'Capacity Prices'!C14</f>
        <v>139.89719999999997</v>
      </c>
      <c r="BC256" s="10">
        <f>'Summary Sheet'!$F$38*'Summary Sheet'!$F$6</f>
        <v>0</v>
      </c>
      <c r="BD256">
        <f t="shared" si="45"/>
        <v>0</v>
      </c>
      <c r="BN256">
        <v>2017</v>
      </c>
      <c r="BO256" s="10">
        <f>'Capacity Prices'!C14</f>
        <v>139.89719999999997</v>
      </c>
      <c r="BP256" s="10">
        <f>'Summary Sheet'!$G$38*'Summary Sheet'!$G$6</f>
        <v>0</v>
      </c>
      <c r="BQ256">
        <f t="shared" si="46"/>
        <v>0</v>
      </c>
    </row>
    <row r="257" spans="1:69" ht="12.75">
      <c r="A257">
        <v>2018</v>
      </c>
      <c r="B257" s="10">
        <f>'Capacity Prices'!C15</f>
        <v>148.1316</v>
      </c>
      <c r="C257" s="10">
        <f>'Summary Sheet'!$B$38*'Summary Sheet'!$B$6</f>
        <v>0</v>
      </c>
      <c r="D257">
        <f t="shared" si="41"/>
        <v>0</v>
      </c>
      <c r="N257">
        <v>2018</v>
      </c>
      <c r="O257" s="10">
        <f>'Capacity Prices'!C15</f>
        <v>148.1316</v>
      </c>
      <c r="P257" s="10">
        <f>'Summary Sheet'!$C$38*'Summary Sheet'!$C$6</f>
        <v>0</v>
      </c>
      <c r="Q257">
        <f t="shared" si="42"/>
        <v>0</v>
      </c>
      <c r="AA257">
        <v>2018</v>
      </c>
      <c r="AB257" s="10">
        <f>'Capacity Prices'!C15</f>
        <v>148.1316</v>
      </c>
      <c r="AC257" s="10">
        <f>'Summary Sheet'!$D$38*'Summary Sheet'!$D$6</f>
        <v>0</v>
      </c>
      <c r="AD257">
        <f t="shared" si="43"/>
        <v>0</v>
      </c>
      <c r="AN257">
        <v>2018</v>
      </c>
      <c r="AO257" s="10">
        <f>'Capacity Prices'!C15</f>
        <v>148.1316</v>
      </c>
      <c r="AP257" s="10">
        <f>'Summary Sheet'!$E$38*'Summary Sheet'!$E$6</f>
        <v>0</v>
      </c>
      <c r="AQ257">
        <f t="shared" si="44"/>
        <v>0</v>
      </c>
      <c r="BA257">
        <v>2018</v>
      </c>
      <c r="BB257" s="10">
        <f>'Capacity Prices'!C15</f>
        <v>148.1316</v>
      </c>
      <c r="BC257" s="10">
        <f>'Summary Sheet'!$F$38*'Summary Sheet'!$F$6</f>
        <v>0</v>
      </c>
      <c r="BD257">
        <f t="shared" si="45"/>
        <v>0</v>
      </c>
      <c r="BN257">
        <v>2018</v>
      </c>
      <c r="BO257" s="10">
        <f>'Capacity Prices'!C15</f>
        <v>148.1316</v>
      </c>
      <c r="BP257" s="10">
        <f>'Summary Sheet'!$G$38*'Summary Sheet'!$G$6</f>
        <v>0</v>
      </c>
      <c r="BQ257">
        <f t="shared" si="46"/>
        <v>0</v>
      </c>
    </row>
    <row r="258" spans="1:69" ht="12.75">
      <c r="A258">
        <v>2019</v>
      </c>
      <c r="B258" s="10">
        <f>'Capacity Prices'!C16</f>
        <v>156.366</v>
      </c>
      <c r="C258" s="10">
        <f>'Summary Sheet'!$B$38*'Summary Sheet'!$B$6</f>
        <v>0</v>
      </c>
      <c r="D258">
        <f t="shared" si="41"/>
        <v>0</v>
      </c>
      <c r="N258">
        <v>2019</v>
      </c>
      <c r="O258" s="10">
        <f>'Capacity Prices'!C16</f>
        <v>156.366</v>
      </c>
      <c r="P258" s="10">
        <f>'Summary Sheet'!$C$38*'Summary Sheet'!$C$6</f>
        <v>0</v>
      </c>
      <c r="Q258">
        <f t="shared" si="42"/>
        <v>0</v>
      </c>
      <c r="AA258">
        <v>2019</v>
      </c>
      <c r="AB258" s="10">
        <f>'Capacity Prices'!C16</f>
        <v>156.366</v>
      </c>
      <c r="AC258" s="10">
        <f>'Summary Sheet'!$D$38*'Summary Sheet'!$D$6</f>
        <v>0</v>
      </c>
      <c r="AD258">
        <f t="shared" si="43"/>
        <v>0</v>
      </c>
      <c r="AN258">
        <v>2019</v>
      </c>
      <c r="AO258" s="10">
        <f>'Capacity Prices'!C16</f>
        <v>156.366</v>
      </c>
      <c r="AP258" s="10">
        <f>'Summary Sheet'!$E$38*'Summary Sheet'!$E$6</f>
        <v>0</v>
      </c>
      <c r="AQ258">
        <f t="shared" si="44"/>
        <v>0</v>
      </c>
      <c r="BA258">
        <v>2019</v>
      </c>
      <c r="BB258" s="10">
        <f>'Capacity Prices'!C16</f>
        <v>156.366</v>
      </c>
      <c r="BC258" s="10">
        <f>'Summary Sheet'!$F$38*'Summary Sheet'!$F$6</f>
        <v>0</v>
      </c>
      <c r="BD258">
        <f t="shared" si="45"/>
        <v>0</v>
      </c>
      <c r="BN258">
        <v>2019</v>
      </c>
      <c r="BO258" s="10">
        <f>'Capacity Prices'!C16</f>
        <v>156.366</v>
      </c>
      <c r="BP258" s="10">
        <f>'Summary Sheet'!$G$38*'Summary Sheet'!$G$6</f>
        <v>0</v>
      </c>
      <c r="BQ258">
        <f t="shared" si="46"/>
        <v>0</v>
      </c>
    </row>
    <row r="259" spans="1:69" ht="12.75">
      <c r="A259">
        <v>2020</v>
      </c>
      <c r="B259" s="10">
        <f>'Capacity Prices'!C17</f>
        <v>164.6004</v>
      </c>
      <c r="C259" s="10">
        <f>'Summary Sheet'!$B$38*'Summary Sheet'!$B$6</f>
        <v>0</v>
      </c>
      <c r="D259">
        <f t="shared" si="41"/>
        <v>0</v>
      </c>
      <c r="N259">
        <v>2020</v>
      </c>
      <c r="O259" s="10">
        <f>'Capacity Prices'!C17</f>
        <v>164.6004</v>
      </c>
      <c r="P259" s="10">
        <f>'Summary Sheet'!$C$38*'Summary Sheet'!$C$6</f>
        <v>0</v>
      </c>
      <c r="Q259">
        <f t="shared" si="42"/>
        <v>0</v>
      </c>
      <c r="AA259">
        <v>2020</v>
      </c>
      <c r="AB259" s="10">
        <f>'Capacity Prices'!C17</f>
        <v>164.6004</v>
      </c>
      <c r="AC259" s="10">
        <f>'Summary Sheet'!$D$38*'Summary Sheet'!$D$6</f>
        <v>0</v>
      </c>
      <c r="AD259">
        <f t="shared" si="43"/>
        <v>0</v>
      </c>
      <c r="AN259">
        <v>2020</v>
      </c>
      <c r="AO259" s="10">
        <f>'Capacity Prices'!C17</f>
        <v>164.6004</v>
      </c>
      <c r="AP259" s="10">
        <f>'Summary Sheet'!$E$38*'Summary Sheet'!$E$6</f>
        <v>0</v>
      </c>
      <c r="AQ259">
        <f t="shared" si="44"/>
        <v>0</v>
      </c>
      <c r="BA259">
        <v>2020</v>
      </c>
      <c r="BB259" s="10">
        <f>'Capacity Prices'!C17</f>
        <v>164.6004</v>
      </c>
      <c r="BC259" s="10">
        <f>'Summary Sheet'!$F$38*'Summary Sheet'!$F$6</f>
        <v>0</v>
      </c>
      <c r="BD259">
        <f t="shared" si="45"/>
        <v>0</v>
      </c>
      <c r="BN259">
        <v>2020</v>
      </c>
      <c r="BO259" s="10">
        <f>'Capacity Prices'!C17</f>
        <v>164.6004</v>
      </c>
      <c r="BP259" s="10">
        <f>'Summary Sheet'!$G$38*'Summary Sheet'!$G$6</f>
        <v>0</v>
      </c>
      <c r="BQ259">
        <f t="shared" si="46"/>
        <v>0</v>
      </c>
    </row>
    <row r="260" spans="1:69" ht="12.75">
      <c r="A260">
        <v>2021</v>
      </c>
      <c r="B260" s="10">
        <f>'Capacity Prices'!C18</f>
        <v>172.83480000000003</v>
      </c>
      <c r="C260" s="10">
        <f>'Summary Sheet'!$B$38*'Summary Sheet'!$B$6</f>
        <v>0</v>
      </c>
      <c r="D260">
        <f t="shared" si="41"/>
        <v>0</v>
      </c>
      <c r="N260">
        <v>2021</v>
      </c>
      <c r="O260" s="10">
        <f>'Capacity Prices'!C18</f>
        <v>172.83480000000003</v>
      </c>
      <c r="P260" s="10">
        <f>'Summary Sheet'!$C$38*'Summary Sheet'!$C$6</f>
        <v>0</v>
      </c>
      <c r="Q260">
        <f t="shared" si="42"/>
        <v>0</v>
      </c>
      <c r="AA260">
        <v>2021</v>
      </c>
      <c r="AB260" s="10">
        <f>'Capacity Prices'!C18</f>
        <v>172.83480000000003</v>
      </c>
      <c r="AC260" s="10">
        <f>'Summary Sheet'!$D$38*'Summary Sheet'!$D$6</f>
        <v>0</v>
      </c>
      <c r="AD260">
        <f t="shared" si="43"/>
        <v>0</v>
      </c>
      <c r="AN260">
        <v>2021</v>
      </c>
      <c r="AO260" s="10">
        <f>'Capacity Prices'!C18</f>
        <v>172.83480000000003</v>
      </c>
      <c r="AP260" s="10">
        <f>'Summary Sheet'!$E$38*'Summary Sheet'!$E$6</f>
        <v>0</v>
      </c>
      <c r="AQ260">
        <f t="shared" si="44"/>
        <v>0</v>
      </c>
      <c r="BA260">
        <v>2021</v>
      </c>
      <c r="BB260" s="10">
        <f>'Capacity Prices'!C18</f>
        <v>172.83480000000003</v>
      </c>
      <c r="BC260" s="10">
        <f>'Summary Sheet'!$F$38*'Summary Sheet'!$F$6</f>
        <v>0</v>
      </c>
      <c r="BD260">
        <f t="shared" si="45"/>
        <v>0</v>
      </c>
      <c r="BN260">
        <v>2021</v>
      </c>
      <c r="BO260" s="10">
        <f>'Capacity Prices'!C18</f>
        <v>172.83480000000003</v>
      </c>
      <c r="BP260" s="10">
        <f>'Summary Sheet'!$G$38*'Summary Sheet'!$G$6</f>
        <v>0</v>
      </c>
      <c r="BQ260">
        <f t="shared" si="46"/>
        <v>0</v>
      </c>
    </row>
    <row r="261" spans="1:69" ht="12.75">
      <c r="A261">
        <v>2022</v>
      </c>
      <c r="B261" s="10">
        <f>'Capacity Prices'!C19</f>
        <v>181.06920000000002</v>
      </c>
      <c r="C261" s="10">
        <f>'Summary Sheet'!$B$38*'Summary Sheet'!$B$6</f>
        <v>0</v>
      </c>
      <c r="D261">
        <f t="shared" si="41"/>
        <v>0</v>
      </c>
      <c r="N261">
        <v>2022</v>
      </c>
      <c r="O261" s="10">
        <f>'Capacity Prices'!C19</f>
        <v>181.06920000000002</v>
      </c>
      <c r="P261" s="10">
        <f>'Summary Sheet'!$C$38*'Summary Sheet'!$C$6</f>
        <v>0</v>
      </c>
      <c r="Q261">
        <f t="shared" si="42"/>
        <v>0</v>
      </c>
      <c r="AA261">
        <v>2022</v>
      </c>
      <c r="AB261" s="10">
        <f>'Capacity Prices'!C19</f>
        <v>181.06920000000002</v>
      </c>
      <c r="AC261" s="10">
        <f>'Summary Sheet'!$D$38*'Summary Sheet'!$D$6</f>
        <v>0</v>
      </c>
      <c r="AD261">
        <f t="shared" si="43"/>
        <v>0</v>
      </c>
      <c r="AN261">
        <v>2022</v>
      </c>
      <c r="AO261" s="10">
        <f>'Capacity Prices'!C19</f>
        <v>181.06920000000002</v>
      </c>
      <c r="AP261" s="10">
        <f>'Summary Sheet'!$E$38*'Summary Sheet'!$E$6</f>
        <v>0</v>
      </c>
      <c r="AQ261">
        <f t="shared" si="44"/>
        <v>0</v>
      </c>
      <c r="BA261">
        <v>2022</v>
      </c>
      <c r="BB261" s="10">
        <f>'Capacity Prices'!C19</f>
        <v>181.06920000000002</v>
      </c>
      <c r="BC261" s="10">
        <f>'Summary Sheet'!$F$38*'Summary Sheet'!$F$6</f>
        <v>0</v>
      </c>
      <c r="BD261">
        <f t="shared" si="45"/>
        <v>0</v>
      </c>
      <c r="BN261">
        <v>2022</v>
      </c>
      <c r="BO261" s="10">
        <f>'Capacity Prices'!C19</f>
        <v>181.06920000000002</v>
      </c>
      <c r="BP261" s="10">
        <f>'Summary Sheet'!$G$38*'Summary Sheet'!$G$6</f>
        <v>0</v>
      </c>
      <c r="BQ261">
        <f t="shared" si="46"/>
        <v>0</v>
      </c>
    </row>
    <row r="262" spans="1:69" ht="12.75">
      <c r="A262">
        <v>2023</v>
      </c>
      <c r="B262" s="10">
        <f>'Capacity Prices'!C20</f>
        <v>189.30360000000005</v>
      </c>
      <c r="C262" s="10">
        <f>'Summary Sheet'!$B$38*'Summary Sheet'!$B$6</f>
        <v>0</v>
      </c>
      <c r="D262">
        <f t="shared" si="41"/>
        <v>0</v>
      </c>
      <c r="N262">
        <v>2023</v>
      </c>
      <c r="O262" s="10">
        <f>'Capacity Prices'!C20</f>
        <v>189.30360000000005</v>
      </c>
      <c r="P262" s="10">
        <f>'Summary Sheet'!$C$38*'Summary Sheet'!$C$6</f>
        <v>0</v>
      </c>
      <c r="Q262">
        <f t="shared" si="42"/>
        <v>0</v>
      </c>
      <c r="AA262">
        <v>2023</v>
      </c>
      <c r="AB262" s="10">
        <f>'Capacity Prices'!C20</f>
        <v>189.30360000000005</v>
      </c>
      <c r="AC262" s="10">
        <f>'Summary Sheet'!$D$38*'Summary Sheet'!$D$6</f>
        <v>0</v>
      </c>
      <c r="AD262">
        <f t="shared" si="43"/>
        <v>0</v>
      </c>
      <c r="AN262">
        <v>2023</v>
      </c>
      <c r="AO262" s="10">
        <f>'Capacity Prices'!C20</f>
        <v>189.30360000000005</v>
      </c>
      <c r="AP262" s="10">
        <f>'Summary Sheet'!$E$38*'Summary Sheet'!$E$6</f>
        <v>0</v>
      </c>
      <c r="AQ262">
        <f t="shared" si="44"/>
        <v>0</v>
      </c>
      <c r="BA262">
        <v>2023</v>
      </c>
      <c r="BB262" s="10">
        <f>'Capacity Prices'!C20</f>
        <v>189.30360000000005</v>
      </c>
      <c r="BC262" s="10">
        <f>'Summary Sheet'!$F$38*'Summary Sheet'!$F$6</f>
        <v>0</v>
      </c>
      <c r="BD262">
        <f t="shared" si="45"/>
        <v>0</v>
      </c>
      <c r="BN262">
        <v>2023</v>
      </c>
      <c r="BO262" s="10">
        <f>'Capacity Prices'!C20</f>
        <v>189.30360000000005</v>
      </c>
      <c r="BP262" s="10">
        <f>'Summary Sheet'!$G$38*'Summary Sheet'!$G$6</f>
        <v>0</v>
      </c>
      <c r="BQ262">
        <f t="shared" si="46"/>
        <v>0</v>
      </c>
    </row>
    <row r="263" spans="1:69" ht="12.75">
      <c r="A263">
        <v>2024</v>
      </c>
      <c r="B263" s="10">
        <f>'Capacity Prices'!C21</f>
        <v>197.53800000000004</v>
      </c>
      <c r="C263" s="10">
        <f>'Summary Sheet'!$B$38*'Summary Sheet'!$B$6</f>
        <v>0</v>
      </c>
      <c r="D263">
        <f t="shared" si="41"/>
        <v>0</v>
      </c>
      <c r="N263">
        <v>2024</v>
      </c>
      <c r="O263" s="10">
        <f>'Capacity Prices'!C21</f>
        <v>197.53800000000004</v>
      </c>
      <c r="P263" s="10">
        <f>'Summary Sheet'!$C$38*'Summary Sheet'!$C$6</f>
        <v>0</v>
      </c>
      <c r="Q263">
        <f t="shared" si="42"/>
        <v>0</v>
      </c>
      <c r="AA263">
        <v>2024</v>
      </c>
      <c r="AB263" s="10">
        <f>'Capacity Prices'!C21</f>
        <v>197.53800000000004</v>
      </c>
      <c r="AC263" s="10">
        <f>'Summary Sheet'!$D$38*'Summary Sheet'!$D$6</f>
        <v>0</v>
      </c>
      <c r="AD263">
        <f t="shared" si="43"/>
        <v>0</v>
      </c>
      <c r="AN263">
        <v>2024</v>
      </c>
      <c r="AO263" s="10">
        <f>'Capacity Prices'!C21</f>
        <v>197.53800000000004</v>
      </c>
      <c r="AP263" s="10">
        <f>'Summary Sheet'!$E$38*'Summary Sheet'!$E$6</f>
        <v>0</v>
      </c>
      <c r="AQ263">
        <f t="shared" si="44"/>
        <v>0</v>
      </c>
      <c r="BA263">
        <v>2024</v>
      </c>
      <c r="BB263" s="10">
        <f>'Capacity Prices'!C21</f>
        <v>197.53800000000004</v>
      </c>
      <c r="BC263" s="10">
        <f>'Summary Sheet'!$F$38*'Summary Sheet'!$F$6</f>
        <v>0</v>
      </c>
      <c r="BD263">
        <f t="shared" si="45"/>
        <v>0</v>
      </c>
      <c r="BN263">
        <v>2024</v>
      </c>
      <c r="BO263" s="10">
        <f>'Capacity Prices'!C21</f>
        <v>197.53800000000004</v>
      </c>
      <c r="BP263" s="10">
        <f>'Summary Sheet'!$G$38*'Summary Sheet'!$G$6</f>
        <v>0</v>
      </c>
      <c r="BQ263">
        <f t="shared" si="46"/>
        <v>0</v>
      </c>
    </row>
    <row r="264" spans="1:69" ht="12.75">
      <c r="A264">
        <v>2025</v>
      </c>
      <c r="B264" s="10">
        <f>'Capacity Prices'!C22</f>
        <v>205.77240000000006</v>
      </c>
      <c r="C264" s="10">
        <f>'Summary Sheet'!$B$38*'Summary Sheet'!$B$6</f>
        <v>0</v>
      </c>
      <c r="D264">
        <f t="shared" si="41"/>
        <v>0</v>
      </c>
      <c r="N264">
        <v>2025</v>
      </c>
      <c r="O264" s="10">
        <f>'Capacity Prices'!C22</f>
        <v>205.77240000000006</v>
      </c>
      <c r="P264" s="10">
        <f>'Summary Sheet'!$C$38*'Summary Sheet'!$C$6</f>
        <v>0</v>
      </c>
      <c r="Q264">
        <f t="shared" si="42"/>
        <v>0</v>
      </c>
      <c r="AA264">
        <v>2025</v>
      </c>
      <c r="AB264" s="10">
        <f>'Capacity Prices'!C22</f>
        <v>205.77240000000006</v>
      </c>
      <c r="AC264" s="10">
        <f>'Summary Sheet'!$D$38*'Summary Sheet'!$D$6</f>
        <v>0</v>
      </c>
      <c r="AD264">
        <f t="shared" si="43"/>
        <v>0</v>
      </c>
      <c r="AN264">
        <v>2025</v>
      </c>
      <c r="AO264" s="10">
        <f>'Capacity Prices'!C22</f>
        <v>205.77240000000006</v>
      </c>
      <c r="AP264" s="10">
        <f>'Summary Sheet'!$E$38*'Summary Sheet'!$E$6</f>
        <v>0</v>
      </c>
      <c r="AQ264">
        <f t="shared" si="44"/>
        <v>0</v>
      </c>
      <c r="BA264">
        <v>2025</v>
      </c>
      <c r="BB264" s="10">
        <f>'Capacity Prices'!C22</f>
        <v>205.77240000000006</v>
      </c>
      <c r="BC264" s="10">
        <f>'Summary Sheet'!$F$38*'Summary Sheet'!$F$6</f>
        <v>0</v>
      </c>
      <c r="BD264">
        <f t="shared" si="45"/>
        <v>0</v>
      </c>
      <c r="BN264">
        <v>2025</v>
      </c>
      <c r="BO264" s="10">
        <f>'Capacity Prices'!C22</f>
        <v>205.77240000000006</v>
      </c>
      <c r="BP264" s="10">
        <f>'Summary Sheet'!$G$38*'Summary Sheet'!$G$6</f>
        <v>0</v>
      </c>
      <c r="BQ264">
        <f t="shared" si="46"/>
        <v>0</v>
      </c>
    </row>
    <row r="265" spans="1:69" ht="12.75">
      <c r="A265">
        <v>2026</v>
      </c>
      <c r="B265" s="10">
        <f>'Capacity Prices'!C23</f>
        <v>214.00680000000006</v>
      </c>
      <c r="C265" s="10">
        <f>'Summary Sheet'!$B$38*'Summary Sheet'!$B$6</f>
        <v>0</v>
      </c>
      <c r="D265">
        <f t="shared" si="41"/>
        <v>0</v>
      </c>
      <c r="N265">
        <v>2026</v>
      </c>
      <c r="O265" s="10">
        <f>'Capacity Prices'!C23</f>
        <v>214.00680000000006</v>
      </c>
      <c r="P265" s="10">
        <f>'Summary Sheet'!$C$38*'Summary Sheet'!$C$6</f>
        <v>0</v>
      </c>
      <c r="Q265">
        <f t="shared" si="42"/>
        <v>0</v>
      </c>
      <c r="AA265">
        <v>2026</v>
      </c>
      <c r="AB265" s="10">
        <f>'Capacity Prices'!C23</f>
        <v>214.00680000000006</v>
      </c>
      <c r="AC265" s="10">
        <f>'Summary Sheet'!$D$38*'Summary Sheet'!$D$6</f>
        <v>0</v>
      </c>
      <c r="AD265">
        <f t="shared" si="43"/>
        <v>0</v>
      </c>
      <c r="AN265">
        <v>2026</v>
      </c>
      <c r="AO265" s="10">
        <f>'Capacity Prices'!C23</f>
        <v>214.00680000000006</v>
      </c>
      <c r="AP265" s="10">
        <f>'Summary Sheet'!$E$38*'Summary Sheet'!$E$6</f>
        <v>0</v>
      </c>
      <c r="AQ265">
        <f t="shared" si="44"/>
        <v>0</v>
      </c>
      <c r="BA265">
        <v>2026</v>
      </c>
      <c r="BB265" s="10">
        <f>'Capacity Prices'!C23</f>
        <v>214.00680000000006</v>
      </c>
      <c r="BC265" s="10">
        <f>'Summary Sheet'!$F$38*'Summary Sheet'!$F$6</f>
        <v>0</v>
      </c>
      <c r="BD265">
        <f t="shared" si="45"/>
        <v>0</v>
      </c>
      <c r="BN265">
        <v>2026</v>
      </c>
      <c r="BO265" s="10">
        <f>'Capacity Prices'!C23</f>
        <v>214.00680000000006</v>
      </c>
      <c r="BP265" s="10">
        <f>'Summary Sheet'!$G$38*'Summary Sheet'!$G$6</f>
        <v>0</v>
      </c>
      <c r="BQ265">
        <f t="shared" si="46"/>
        <v>0</v>
      </c>
    </row>
    <row r="266" spans="1:69" ht="12.75">
      <c r="A266">
        <v>2027</v>
      </c>
      <c r="B266" s="10"/>
      <c r="C266" s="10">
        <f>'Summary Sheet'!$B$38*'Summary Sheet'!$B$6</f>
        <v>0</v>
      </c>
      <c r="D266">
        <f t="shared" si="41"/>
        <v>0</v>
      </c>
      <c r="N266">
        <v>2027</v>
      </c>
      <c r="O266" s="10"/>
      <c r="P266" s="10">
        <f>'Summary Sheet'!$C$38*'Summary Sheet'!$C$6</f>
        <v>0</v>
      </c>
      <c r="Q266">
        <f t="shared" si="42"/>
        <v>0</v>
      </c>
      <c r="AA266">
        <v>2027</v>
      </c>
      <c r="AB266" s="10"/>
      <c r="AC266" s="10">
        <f>'Summary Sheet'!$D$38*'Summary Sheet'!$D$6</f>
        <v>0</v>
      </c>
      <c r="AD266">
        <f t="shared" si="43"/>
        <v>0</v>
      </c>
      <c r="AN266">
        <v>2027</v>
      </c>
      <c r="AO266" s="10"/>
      <c r="AP266" s="10">
        <f>'Summary Sheet'!$E$38*'Summary Sheet'!$E$6</f>
        <v>0</v>
      </c>
      <c r="AQ266">
        <f t="shared" si="44"/>
        <v>0</v>
      </c>
      <c r="BA266">
        <v>2027</v>
      </c>
      <c r="BB266" s="10"/>
      <c r="BC266" s="10">
        <f>'Summary Sheet'!$F$38*'Summary Sheet'!$F$6</f>
        <v>0</v>
      </c>
      <c r="BD266">
        <f t="shared" si="45"/>
        <v>0</v>
      </c>
      <c r="BN266">
        <v>2027</v>
      </c>
      <c r="BO266" s="10"/>
      <c r="BP266" s="10">
        <f>'Summary Sheet'!$G$38*'Summary Sheet'!$G$6</f>
        <v>0</v>
      </c>
      <c r="BQ266">
        <f t="shared" si="46"/>
        <v>0</v>
      </c>
    </row>
    <row r="267" spans="1:69" ht="12.75">
      <c r="A267">
        <v>2028</v>
      </c>
      <c r="B267" s="10"/>
      <c r="C267" s="10">
        <f>'Summary Sheet'!$B$38*'Summary Sheet'!$B$6</f>
        <v>0</v>
      </c>
      <c r="D267">
        <f t="shared" si="41"/>
        <v>0</v>
      </c>
      <c r="N267">
        <v>2028</v>
      </c>
      <c r="O267" s="10"/>
      <c r="P267" s="10">
        <f>'Summary Sheet'!$C$38*'Summary Sheet'!$C$6</f>
        <v>0</v>
      </c>
      <c r="Q267">
        <f t="shared" si="42"/>
        <v>0</v>
      </c>
      <c r="AA267">
        <v>2028</v>
      </c>
      <c r="AB267" s="10"/>
      <c r="AC267" s="10">
        <f>'Summary Sheet'!$D$38*'Summary Sheet'!$D$6</f>
        <v>0</v>
      </c>
      <c r="AD267">
        <f t="shared" si="43"/>
        <v>0</v>
      </c>
      <c r="AN267">
        <v>2028</v>
      </c>
      <c r="AO267" s="10"/>
      <c r="AP267" s="10">
        <f>'Summary Sheet'!$E$38*'Summary Sheet'!$E$6</f>
        <v>0</v>
      </c>
      <c r="AQ267">
        <f t="shared" si="44"/>
        <v>0</v>
      </c>
      <c r="BA267">
        <v>2028</v>
      </c>
      <c r="BB267" s="10"/>
      <c r="BC267" s="10">
        <f>'Summary Sheet'!$F$38*'Summary Sheet'!$F$6</f>
        <v>0</v>
      </c>
      <c r="BD267">
        <f t="shared" si="45"/>
        <v>0</v>
      </c>
      <c r="BN267">
        <v>2028</v>
      </c>
      <c r="BO267" s="10"/>
      <c r="BP267" s="10">
        <f>'Summary Sheet'!$G$38*'Summary Sheet'!$G$6</f>
        <v>0</v>
      </c>
      <c r="BQ267">
        <f t="shared" si="46"/>
        <v>0</v>
      </c>
    </row>
    <row r="269" spans="3:69" ht="12.75">
      <c r="C269" t="s">
        <v>170</v>
      </c>
      <c r="D269">
        <f>SUM(D248:D267)</f>
        <v>0</v>
      </c>
      <c r="P269" t="s">
        <v>170</v>
      </c>
      <c r="Q269">
        <f>SUM(Q248:Q267)</f>
        <v>0</v>
      </c>
      <c r="AC269" t="s">
        <v>170</v>
      </c>
      <c r="AD269">
        <f>SUM(AD248:AD267)</f>
        <v>0</v>
      </c>
      <c r="AP269" t="s">
        <v>170</v>
      </c>
      <c r="AQ269">
        <f>SUM(AQ248:AQ267)</f>
        <v>0</v>
      </c>
      <c r="BC269" t="s">
        <v>170</v>
      </c>
      <c r="BD269">
        <f>SUM(BD248:BD267)</f>
        <v>0</v>
      </c>
      <c r="BP269" t="s">
        <v>170</v>
      </c>
      <c r="BQ269">
        <f>SUM(BQ248:BQ267)</f>
        <v>0</v>
      </c>
    </row>
    <row r="270" spans="3:69" ht="12.75">
      <c r="C270" t="s">
        <v>174</v>
      </c>
      <c r="D270" s="8">
        <f>NPV('Summary Sheet'!$B$67,D248:D267)</f>
        <v>0</v>
      </c>
      <c r="P270" t="s">
        <v>174</v>
      </c>
      <c r="Q270" s="8">
        <f>NPV('Summary Sheet'!$C$67,Q248:Q267)</f>
        <v>0</v>
      </c>
      <c r="AC270" t="s">
        <v>174</v>
      </c>
      <c r="AD270" s="8">
        <f>NPV('Summary Sheet'!$D$67,AD248:AD267)</f>
        <v>0</v>
      </c>
      <c r="AP270" t="s">
        <v>174</v>
      </c>
      <c r="AQ270" s="8">
        <f>NPV('Summary Sheet'!$E$67,AQ248:AQ267)</f>
        <v>0</v>
      </c>
      <c r="BC270" t="s">
        <v>174</v>
      </c>
      <c r="BD270" s="8">
        <f>NPV('Summary Sheet'!$F$67,BD248:BD267)</f>
        <v>0</v>
      </c>
      <c r="BP270" t="s">
        <v>174</v>
      </c>
      <c r="BQ270" s="8">
        <f>NPV('Summary Sheet'!$G$67,BQ248:BQ267)</f>
        <v>0</v>
      </c>
    </row>
  </sheetData>
  <sheetProtection/>
  <mergeCells count="67">
    <mergeCell ref="BN83:BW83"/>
    <mergeCell ref="N83:W83"/>
    <mergeCell ref="AA83:AJ83"/>
    <mergeCell ref="AN83:AW83"/>
    <mergeCell ref="BA83:BJ83"/>
    <mergeCell ref="BA217:BE217"/>
    <mergeCell ref="BN217:BR217"/>
    <mergeCell ref="A246:E246"/>
    <mergeCell ref="N246:R246"/>
    <mergeCell ref="AA246:AE246"/>
    <mergeCell ref="AN246:AR246"/>
    <mergeCell ref="BA246:BE246"/>
    <mergeCell ref="BN246:BR246"/>
    <mergeCell ref="A217:E217"/>
    <mergeCell ref="N217:R217"/>
    <mergeCell ref="AA217:AE217"/>
    <mergeCell ref="AN217:AR217"/>
    <mergeCell ref="A189:F189"/>
    <mergeCell ref="N189:S189"/>
    <mergeCell ref="AA189:AF189"/>
    <mergeCell ref="AN189:AS189"/>
    <mergeCell ref="J112:L112"/>
    <mergeCell ref="A136:F136"/>
    <mergeCell ref="A163:C163"/>
    <mergeCell ref="N163:P163"/>
    <mergeCell ref="AN110:AT110"/>
    <mergeCell ref="AA110:AG110"/>
    <mergeCell ref="N110:T110"/>
    <mergeCell ref="BA163:BC163"/>
    <mergeCell ref="BA136:BF136"/>
    <mergeCell ref="AN136:AS136"/>
    <mergeCell ref="AA136:AF136"/>
    <mergeCell ref="N136:S136"/>
    <mergeCell ref="AA163:AC163"/>
    <mergeCell ref="AN163:AP163"/>
    <mergeCell ref="A110:G110"/>
    <mergeCell ref="A1:L1"/>
    <mergeCell ref="A29:L29"/>
    <mergeCell ref="A2:K2"/>
    <mergeCell ref="A56:E56"/>
    <mergeCell ref="A83:J83"/>
    <mergeCell ref="AA1:AL1"/>
    <mergeCell ref="AA29:AL29"/>
    <mergeCell ref="AN1:AY1"/>
    <mergeCell ref="AN29:AY29"/>
    <mergeCell ref="N29:Y29"/>
    <mergeCell ref="N1:Y1"/>
    <mergeCell ref="N2:X2"/>
    <mergeCell ref="N56:R56"/>
    <mergeCell ref="AN56:AR56"/>
    <mergeCell ref="BN2:BX2"/>
    <mergeCell ref="AA2:AK2"/>
    <mergeCell ref="AN2:AX2"/>
    <mergeCell ref="BA2:BK2"/>
    <mergeCell ref="AA56:AE56"/>
    <mergeCell ref="BA56:BE56"/>
    <mergeCell ref="BN56:BR56"/>
    <mergeCell ref="BA1:BL1"/>
    <mergeCell ref="BA189:BF189"/>
    <mergeCell ref="BN189:BS189"/>
    <mergeCell ref="BA29:BL29"/>
    <mergeCell ref="BN29:BY29"/>
    <mergeCell ref="BN110:BT110"/>
    <mergeCell ref="BA110:BG110"/>
    <mergeCell ref="BN1:BY1"/>
    <mergeCell ref="BN163:BP163"/>
    <mergeCell ref="BN136:BS13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D108"/>
  <sheetViews>
    <sheetView zoomScale="85" zoomScaleNormal="85" zoomScalePageLayoutView="0" workbookViewId="0" topLeftCell="A1">
      <selection activeCell="I28" sqref="I28"/>
    </sheetView>
  </sheetViews>
  <sheetFormatPr defaultColWidth="9.140625" defaultRowHeight="12.75"/>
  <cols>
    <col min="2" max="2" width="10.8515625" style="0" customWidth="1"/>
    <col min="3" max="3" width="13.57421875" style="0" bestFit="1" customWidth="1"/>
    <col min="4" max="4" width="10.8515625" style="0" bestFit="1" customWidth="1"/>
    <col min="8" max="8" width="10.8515625" style="0" customWidth="1"/>
    <col min="9" max="9" width="13.57421875" style="0" bestFit="1" customWidth="1"/>
    <col min="10" max="10" width="14.28125" style="0" bestFit="1" customWidth="1"/>
    <col min="11" max="11" width="14.28125" style="0" customWidth="1"/>
    <col min="13" max="13" width="10.8515625" style="0" customWidth="1"/>
    <col min="14" max="14" width="13.57421875" style="0" bestFit="1" customWidth="1"/>
    <col min="18" max="18" width="10.8515625" style="0" customWidth="1"/>
    <col min="19" max="19" width="13.57421875" style="0" bestFit="1" customWidth="1"/>
    <col min="23" max="23" width="10.8515625" style="0" customWidth="1"/>
    <col min="24" max="24" width="13.57421875" style="0" bestFit="1" customWidth="1"/>
    <col min="28" max="28" width="10.8515625" style="0" customWidth="1"/>
    <col min="29" max="29" width="13.57421875" style="0" bestFit="1" customWidth="1"/>
  </cols>
  <sheetData>
    <row r="1" spans="1:29" ht="23.25">
      <c r="A1" s="250">
        <f>'Summary Sheet'!$B$5</f>
        <v>2009</v>
      </c>
      <c r="B1" s="248"/>
      <c r="C1" s="248"/>
      <c r="G1" s="248">
        <f>'Summary Sheet'!$C$5</f>
        <v>2010</v>
      </c>
      <c r="H1" s="248"/>
      <c r="I1" s="248"/>
      <c r="L1" s="248">
        <f>'Summary Sheet'!$D$5</f>
        <v>0</v>
      </c>
      <c r="M1" s="248"/>
      <c r="N1" s="248"/>
      <c r="Q1" s="248">
        <f>'Summary Sheet'!$E$5</f>
        <v>0</v>
      </c>
      <c r="R1" s="248"/>
      <c r="S1" s="248"/>
      <c r="V1" s="248" t="str">
        <f>'Summary Sheet'!$F$5</f>
        <v>Case 4**</v>
      </c>
      <c r="W1" s="248"/>
      <c r="X1" s="248"/>
      <c r="AA1" s="248" t="str">
        <f>'Summary Sheet'!$G$5</f>
        <v>Case 5**</v>
      </c>
      <c r="AB1" s="248"/>
      <c r="AC1" s="248"/>
    </row>
    <row r="3" spans="1:29" ht="12.75">
      <c r="A3" s="249" t="s">
        <v>149</v>
      </c>
      <c r="B3" s="249"/>
      <c r="C3" s="249"/>
      <c r="G3" s="249" t="s">
        <v>149</v>
      </c>
      <c r="H3" s="249"/>
      <c r="I3" s="249"/>
      <c r="L3" s="249" t="s">
        <v>149</v>
      </c>
      <c r="M3" s="249"/>
      <c r="N3" s="249"/>
      <c r="Q3" s="249" t="s">
        <v>149</v>
      </c>
      <c r="R3" s="249"/>
      <c r="S3" s="249"/>
      <c r="V3" s="249" t="s">
        <v>149</v>
      </c>
      <c r="W3" s="249"/>
      <c r="X3" s="249"/>
      <c r="AA3" s="249" t="s">
        <v>149</v>
      </c>
      <c r="AB3" s="249"/>
      <c r="AC3" s="249"/>
    </row>
    <row r="4" spans="1:29" ht="25.5">
      <c r="A4" s="7" t="s">
        <v>159</v>
      </c>
      <c r="B4" s="7" t="s">
        <v>711</v>
      </c>
      <c r="C4" s="7" t="s">
        <v>185</v>
      </c>
      <c r="D4" s="7"/>
      <c r="E4" s="7"/>
      <c r="F4" s="7"/>
      <c r="G4" s="7" t="s">
        <v>159</v>
      </c>
      <c r="H4" s="7" t="s">
        <v>711</v>
      </c>
      <c r="I4" s="7" t="s">
        <v>185</v>
      </c>
      <c r="L4" s="7" t="s">
        <v>159</v>
      </c>
      <c r="M4" s="7" t="s">
        <v>711</v>
      </c>
      <c r="N4" s="7" t="s">
        <v>185</v>
      </c>
      <c r="Q4" s="7" t="s">
        <v>159</v>
      </c>
      <c r="R4" s="7" t="s">
        <v>711</v>
      </c>
      <c r="S4" s="7" t="s">
        <v>185</v>
      </c>
      <c r="V4" s="7" t="s">
        <v>159</v>
      </c>
      <c r="W4" s="7" t="s">
        <v>711</v>
      </c>
      <c r="X4" s="7" t="s">
        <v>185</v>
      </c>
      <c r="AA4" s="7" t="s">
        <v>159</v>
      </c>
      <c r="AB4" s="7" t="s">
        <v>711</v>
      </c>
      <c r="AC4" s="7" t="s">
        <v>185</v>
      </c>
    </row>
    <row r="5" spans="1:29" ht="12.75">
      <c r="A5">
        <v>2009</v>
      </c>
      <c r="B5">
        <f>'Summary Sheet'!$B$55</f>
        <v>0</v>
      </c>
      <c r="C5">
        <f>'Summary Sheet'!$B$54</f>
        <v>0</v>
      </c>
      <c r="G5">
        <v>2009</v>
      </c>
      <c r="H5">
        <f>'Summary Sheet'!$C$55</f>
        <v>0</v>
      </c>
      <c r="I5">
        <v>0</v>
      </c>
      <c r="L5">
        <v>2009</v>
      </c>
      <c r="M5">
        <f>'Summary Sheet'!$D$55</f>
        <v>0</v>
      </c>
      <c r="N5">
        <f>'Summary Sheet'!$D$54</f>
        <v>0</v>
      </c>
      <c r="Q5">
        <v>2009</v>
      </c>
      <c r="R5">
        <f>'Summary Sheet'!$E$55</f>
        <v>0</v>
      </c>
      <c r="S5">
        <f>'Summary Sheet'!$E$54</f>
        <v>0</v>
      </c>
      <c r="V5">
        <v>2009</v>
      </c>
      <c r="W5">
        <f>'Summary Sheet'!$F$55</f>
        <v>0</v>
      </c>
      <c r="X5">
        <f>'Summary Sheet'!$F$54</f>
        <v>0</v>
      </c>
      <c r="AA5">
        <v>2009</v>
      </c>
      <c r="AB5">
        <f>'Summary Sheet'!$G$55</f>
        <v>0</v>
      </c>
      <c r="AC5">
        <f>'Summary Sheet'!$G$54</f>
        <v>0</v>
      </c>
    </row>
    <row r="6" spans="1:28" ht="12.75">
      <c r="A6">
        <v>2010</v>
      </c>
      <c r="B6">
        <f>'Summary Sheet'!$B$55</f>
        <v>0</v>
      </c>
      <c r="G6">
        <v>2010</v>
      </c>
      <c r="H6">
        <f>'Summary Sheet'!$C$55</f>
        <v>0</v>
      </c>
      <c r="I6">
        <f>'Summary Sheet'!$C$54</f>
        <v>0</v>
      </c>
      <c r="L6">
        <v>2010</v>
      </c>
      <c r="M6">
        <f>'Summary Sheet'!$D$55</f>
        <v>0</v>
      </c>
      <c r="Q6">
        <v>2010</v>
      </c>
      <c r="R6">
        <f>'Summary Sheet'!$E$55</f>
        <v>0</v>
      </c>
      <c r="V6">
        <v>2010</v>
      </c>
      <c r="W6">
        <f>'Summary Sheet'!$F$55</f>
        <v>0</v>
      </c>
      <c r="AA6">
        <v>2010</v>
      </c>
      <c r="AB6">
        <f>'Summary Sheet'!$G$55</f>
        <v>0</v>
      </c>
    </row>
    <row r="7" spans="1:28" ht="12.75">
      <c r="A7">
        <v>2011</v>
      </c>
      <c r="B7">
        <f>'Summary Sheet'!$B$55</f>
        <v>0</v>
      </c>
      <c r="G7">
        <v>2011</v>
      </c>
      <c r="H7">
        <f>'Summary Sheet'!$C$55</f>
        <v>0</v>
      </c>
      <c r="L7">
        <v>2011</v>
      </c>
      <c r="M7">
        <f>'Summary Sheet'!$D$55</f>
        <v>0</v>
      </c>
      <c r="Q7">
        <v>2011</v>
      </c>
      <c r="R7">
        <f>'Summary Sheet'!$E$55</f>
        <v>0</v>
      </c>
      <c r="V7">
        <v>2011</v>
      </c>
      <c r="W7">
        <f>'Summary Sheet'!$F$55</f>
        <v>0</v>
      </c>
      <c r="AA7">
        <v>2011</v>
      </c>
      <c r="AB7">
        <f>'Summary Sheet'!$G$55</f>
        <v>0</v>
      </c>
    </row>
    <row r="8" spans="1:28" ht="12.75">
      <c r="A8">
        <v>2012</v>
      </c>
      <c r="B8">
        <f>'Summary Sheet'!$B$55</f>
        <v>0</v>
      </c>
      <c r="G8">
        <v>2012</v>
      </c>
      <c r="H8">
        <f>'Summary Sheet'!$C$55</f>
        <v>0</v>
      </c>
      <c r="L8">
        <v>2012</v>
      </c>
      <c r="M8">
        <f>'Summary Sheet'!$D$55</f>
        <v>0</v>
      </c>
      <c r="Q8">
        <v>2012</v>
      </c>
      <c r="R8">
        <f>'Summary Sheet'!$E$55</f>
        <v>0</v>
      </c>
      <c r="V8">
        <v>2012</v>
      </c>
      <c r="W8">
        <f>'Summary Sheet'!$F$55</f>
        <v>0</v>
      </c>
      <c r="AA8">
        <v>2012</v>
      </c>
      <c r="AB8">
        <f>'Summary Sheet'!$G$55</f>
        <v>0</v>
      </c>
    </row>
    <row r="9" spans="1:28" ht="12.75">
      <c r="A9">
        <v>2013</v>
      </c>
      <c r="B9">
        <f>'Summary Sheet'!$B$55</f>
        <v>0</v>
      </c>
      <c r="G9">
        <v>2013</v>
      </c>
      <c r="H9">
        <f>'Summary Sheet'!$C$55</f>
        <v>0</v>
      </c>
      <c r="L9">
        <v>2013</v>
      </c>
      <c r="M9">
        <f>'Summary Sheet'!$D$55</f>
        <v>0</v>
      </c>
      <c r="Q9">
        <v>2013</v>
      </c>
      <c r="R9">
        <f>'Summary Sheet'!$E$55</f>
        <v>0</v>
      </c>
      <c r="V9">
        <v>2013</v>
      </c>
      <c r="W9">
        <f>'Summary Sheet'!$F$55</f>
        <v>0</v>
      </c>
      <c r="AA9">
        <v>2013</v>
      </c>
      <c r="AB9">
        <f>'Summary Sheet'!$G$55</f>
        <v>0</v>
      </c>
    </row>
    <row r="10" spans="1:28" ht="12.75">
      <c r="A10">
        <v>2014</v>
      </c>
      <c r="B10">
        <f>'Summary Sheet'!$B$55</f>
        <v>0</v>
      </c>
      <c r="G10">
        <v>2014</v>
      </c>
      <c r="H10">
        <f>'Summary Sheet'!$C$55</f>
        <v>0</v>
      </c>
      <c r="L10">
        <v>2014</v>
      </c>
      <c r="M10">
        <f>'Summary Sheet'!$D$55</f>
        <v>0</v>
      </c>
      <c r="Q10">
        <v>2014</v>
      </c>
      <c r="R10">
        <f>'Summary Sheet'!$E$55</f>
        <v>0</v>
      </c>
      <c r="V10">
        <v>2014</v>
      </c>
      <c r="W10">
        <f>'Summary Sheet'!$F$55</f>
        <v>0</v>
      </c>
      <c r="AA10">
        <v>2014</v>
      </c>
      <c r="AB10">
        <f>'Summary Sheet'!$G$55</f>
        <v>0</v>
      </c>
    </row>
    <row r="11" spans="1:28" ht="12.75">
      <c r="A11">
        <v>2015</v>
      </c>
      <c r="B11">
        <f>'Summary Sheet'!$B$55</f>
        <v>0</v>
      </c>
      <c r="G11">
        <v>2015</v>
      </c>
      <c r="H11">
        <f>'Summary Sheet'!$C$55</f>
        <v>0</v>
      </c>
      <c r="L11">
        <v>2015</v>
      </c>
      <c r="M11">
        <f>'Summary Sheet'!$D$55</f>
        <v>0</v>
      </c>
      <c r="Q11">
        <v>2015</v>
      </c>
      <c r="R11">
        <f>'Summary Sheet'!$E$55</f>
        <v>0</v>
      </c>
      <c r="V11">
        <v>2015</v>
      </c>
      <c r="W11">
        <f>'Summary Sheet'!$F$55</f>
        <v>0</v>
      </c>
      <c r="AA11">
        <v>2015</v>
      </c>
      <c r="AB11">
        <f>'Summary Sheet'!$G$55</f>
        <v>0</v>
      </c>
    </row>
    <row r="12" spans="1:28" ht="12.75">
      <c r="A12">
        <v>2016</v>
      </c>
      <c r="B12">
        <f>'Summary Sheet'!$B$55</f>
        <v>0</v>
      </c>
      <c r="G12">
        <v>2016</v>
      </c>
      <c r="H12">
        <f>'Summary Sheet'!$C$55</f>
        <v>0</v>
      </c>
      <c r="L12">
        <v>2016</v>
      </c>
      <c r="M12">
        <f>'Summary Sheet'!$D$55</f>
        <v>0</v>
      </c>
      <c r="Q12">
        <v>2016</v>
      </c>
      <c r="R12">
        <f>'Summary Sheet'!$E$55</f>
        <v>0</v>
      </c>
      <c r="V12">
        <v>2016</v>
      </c>
      <c r="W12">
        <f>'Summary Sheet'!$F$55</f>
        <v>0</v>
      </c>
      <c r="AA12">
        <v>2016</v>
      </c>
      <c r="AB12">
        <f>'Summary Sheet'!$G$55</f>
        <v>0</v>
      </c>
    </row>
    <row r="13" spans="1:28" ht="12.75">
      <c r="A13">
        <v>2017</v>
      </c>
      <c r="B13">
        <f>'Summary Sheet'!$B$55</f>
        <v>0</v>
      </c>
      <c r="G13">
        <v>2017</v>
      </c>
      <c r="H13">
        <f>'Summary Sheet'!$C$55</f>
        <v>0</v>
      </c>
      <c r="L13">
        <v>2017</v>
      </c>
      <c r="M13">
        <f>'Summary Sheet'!$D$55</f>
        <v>0</v>
      </c>
      <c r="Q13">
        <v>2017</v>
      </c>
      <c r="R13">
        <f>'Summary Sheet'!$E$55</f>
        <v>0</v>
      </c>
      <c r="V13">
        <v>2017</v>
      </c>
      <c r="W13">
        <f>'Summary Sheet'!$F$55</f>
        <v>0</v>
      </c>
      <c r="AA13">
        <v>2017</v>
      </c>
      <c r="AB13">
        <f>'Summary Sheet'!$G$55</f>
        <v>0</v>
      </c>
    </row>
    <row r="14" spans="1:28" ht="12.75">
      <c r="A14">
        <v>2018</v>
      </c>
      <c r="B14">
        <f>'Summary Sheet'!$B$55</f>
        <v>0</v>
      </c>
      <c r="G14">
        <v>2018</v>
      </c>
      <c r="H14">
        <f>'Summary Sheet'!$C$55</f>
        <v>0</v>
      </c>
      <c r="L14">
        <v>2018</v>
      </c>
      <c r="M14">
        <f>'Summary Sheet'!$D$55</f>
        <v>0</v>
      </c>
      <c r="Q14">
        <v>2018</v>
      </c>
      <c r="R14">
        <f>'Summary Sheet'!$E$55</f>
        <v>0</v>
      </c>
      <c r="V14">
        <v>2018</v>
      </c>
      <c r="W14">
        <f>'Summary Sheet'!$F$55</f>
        <v>0</v>
      </c>
      <c r="AA14">
        <v>2018</v>
      </c>
      <c r="AB14">
        <f>'Summary Sheet'!$G$55</f>
        <v>0</v>
      </c>
    </row>
    <row r="15" spans="1:28" ht="12.75">
      <c r="A15">
        <v>2019</v>
      </c>
      <c r="B15">
        <f>'Summary Sheet'!$B$55</f>
        <v>0</v>
      </c>
      <c r="G15">
        <v>2019</v>
      </c>
      <c r="H15">
        <f>'Summary Sheet'!$C$55</f>
        <v>0</v>
      </c>
      <c r="L15">
        <v>2019</v>
      </c>
      <c r="M15">
        <f>'Summary Sheet'!$D$55</f>
        <v>0</v>
      </c>
      <c r="Q15">
        <v>2019</v>
      </c>
      <c r="R15">
        <f>'Summary Sheet'!$E$55</f>
        <v>0</v>
      </c>
      <c r="V15">
        <v>2019</v>
      </c>
      <c r="W15">
        <f>'Summary Sheet'!$F$55</f>
        <v>0</v>
      </c>
      <c r="AA15">
        <v>2019</v>
      </c>
      <c r="AB15">
        <f>'Summary Sheet'!$G$55</f>
        <v>0</v>
      </c>
    </row>
    <row r="16" spans="1:28" ht="12.75">
      <c r="A16">
        <v>2020</v>
      </c>
      <c r="B16">
        <f>'Summary Sheet'!$B$55</f>
        <v>0</v>
      </c>
      <c r="G16">
        <v>2020</v>
      </c>
      <c r="H16">
        <f>'Summary Sheet'!$C$55</f>
        <v>0</v>
      </c>
      <c r="L16">
        <v>2020</v>
      </c>
      <c r="M16">
        <f>'Summary Sheet'!$D$55</f>
        <v>0</v>
      </c>
      <c r="Q16">
        <v>2020</v>
      </c>
      <c r="R16">
        <f>'Summary Sheet'!$E$55</f>
        <v>0</v>
      </c>
      <c r="V16">
        <v>2020</v>
      </c>
      <c r="W16">
        <f>'Summary Sheet'!$F$55</f>
        <v>0</v>
      </c>
      <c r="AA16">
        <v>2020</v>
      </c>
      <c r="AB16">
        <f>'Summary Sheet'!$G$55</f>
        <v>0</v>
      </c>
    </row>
    <row r="17" spans="1:28" ht="12.75">
      <c r="A17">
        <v>2021</v>
      </c>
      <c r="B17">
        <f>'Summary Sheet'!$B$55</f>
        <v>0</v>
      </c>
      <c r="G17">
        <v>2021</v>
      </c>
      <c r="H17">
        <f>'Summary Sheet'!$C$55</f>
        <v>0</v>
      </c>
      <c r="L17">
        <v>2021</v>
      </c>
      <c r="M17">
        <f>'Summary Sheet'!$D$55</f>
        <v>0</v>
      </c>
      <c r="Q17">
        <v>2021</v>
      </c>
      <c r="R17">
        <f>'Summary Sheet'!$E$55</f>
        <v>0</v>
      </c>
      <c r="V17">
        <v>2021</v>
      </c>
      <c r="W17">
        <f>'Summary Sheet'!$F$55</f>
        <v>0</v>
      </c>
      <c r="AA17">
        <v>2021</v>
      </c>
      <c r="AB17">
        <f>'Summary Sheet'!$G$55</f>
        <v>0</v>
      </c>
    </row>
    <row r="18" spans="1:28" ht="12.75">
      <c r="A18">
        <v>2022</v>
      </c>
      <c r="B18">
        <f>'Summary Sheet'!$B$55</f>
        <v>0</v>
      </c>
      <c r="G18">
        <v>2022</v>
      </c>
      <c r="H18">
        <f>'Summary Sheet'!$C$55</f>
        <v>0</v>
      </c>
      <c r="L18">
        <v>2022</v>
      </c>
      <c r="M18">
        <f>'Summary Sheet'!$D$55</f>
        <v>0</v>
      </c>
      <c r="Q18">
        <v>2022</v>
      </c>
      <c r="R18">
        <f>'Summary Sheet'!$E$55</f>
        <v>0</v>
      </c>
      <c r="V18">
        <v>2022</v>
      </c>
      <c r="W18">
        <f>'Summary Sheet'!$F$55</f>
        <v>0</v>
      </c>
      <c r="AA18">
        <v>2022</v>
      </c>
      <c r="AB18">
        <f>'Summary Sheet'!$G$55</f>
        <v>0</v>
      </c>
    </row>
    <row r="19" spans="1:28" ht="12.75">
      <c r="A19">
        <v>2023</v>
      </c>
      <c r="B19">
        <f>'Summary Sheet'!$B$55</f>
        <v>0</v>
      </c>
      <c r="G19">
        <v>2023</v>
      </c>
      <c r="H19">
        <f>'Summary Sheet'!$C$55</f>
        <v>0</v>
      </c>
      <c r="L19">
        <v>2023</v>
      </c>
      <c r="M19">
        <f>'Summary Sheet'!$D$55</f>
        <v>0</v>
      </c>
      <c r="Q19">
        <v>2023</v>
      </c>
      <c r="R19">
        <f>'Summary Sheet'!$E$55</f>
        <v>0</v>
      </c>
      <c r="V19">
        <v>2023</v>
      </c>
      <c r="W19">
        <f>'Summary Sheet'!$F$55</f>
        <v>0</v>
      </c>
      <c r="AA19">
        <v>2023</v>
      </c>
      <c r="AB19">
        <f>'Summary Sheet'!$G$55</f>
        <v>0</v>
      </c>
    </row>
    <row r="20" spans="1:28" ht="12.75">
      <c r="A20">
        <v>2024</v>
      </c>
      <c r="B20">
        <f>'Summary Sheet'!$B$55</f>
        <v>0</v>
      </c>
      <c r="G20">
        <v>2024</v>
      </c>
      <c r="H20">
        <f>'Summary Sheet'!$C$55</f>
        <v>0</v>
      </c>
      <c r="L20">
        <v>2024</v>
      </c>
      <c r="M20">
        <f>'Summary Sheet'!$D$55</f>
        <v>0</v>
      </c>
      <c r="Q20">
        <v>2024</v>
      </c>
      <c r="R20">
        <f>'Summary Sheet'!$E$55</f>
        <v>0</v>
      </c>
      <c r="V20">
        <v>2024</v>
      </c>
      <c r="W20">
        <f>'Summary Sheet'!$F$55</f>
        <v>0</v>
      </c>
      <c r="AA20">
        <v>2024</v>
      </c>
      <c r="AB20">
        <f>'Summary Sheet'!$G$55</f>
        <v>0</v>
      </c>
    </row>
    <row r="21" spans="1:28" ht="12.75">
      <c r="A21">
        <v>2025</v>
      </c>
      <c r="B21">
        <f>'Summary Sheet'!$B$55</f>
        <v>0</v>
      </c>
      <c r="G21">
        <v>2025</v>
      </c>
      <c r="H21">
        <f>'Summary Sheet'!$C$55</f>
        <v>0</v>
      </c>
      <c r="L21">
        <v>2025</v>
      </c>
      <c r="M21">
        <f>'Summary Sheet'!$D$55</f>
        <v>0</v>
      </c>
      <c r="Q21">
        <v>2025</v>
      </c>
      <c r="R21">
        <f>'Summary Sheet'!$E$55</f>
        <v>0</v>
      </c>
      <c r="V21">
        <v>2025</v>
      </c>
      <c r="W21">
        <f>'Summary Sheet'!$F$55</f>
        <v>0</v>
      </c>
      <c r="AA21">
        <v>2025</v>
      </c>
      <c r="AB21">
        <f>'Summary Sheet'!$G$55</f>
        <v>0</v>
      </c>
    </row>
    <row r="22" spans="1:28" ht="12.75">
      <c r="A22">
        <v>2026</v>
      </c>
      <c r="B22">
        <f>'Summary Sheet'!$B$55</f>
        <v>0</v>
      </c>
      <c r="G22">
        <v>2026</v>
      </c>
      <c r="H22">
        <f>'Summary Sheet'!$C$55</f>
        <v>0</v>
      </c>
      <c r="L22">
        <v>2026</v>
      </c>
      <c r="M22">
        <f>'Summary Sheet'!$D$55</f>
        <v>0</v>
      </c>
      <c r="Q22">
        <v>2026</v>
      </c>
      <c r="R22">
        <f>'Summary Sheet'!$E$55</f>
        <v>0</v>
      </c>
      <c r="V22">
        <v>2026</v>
      </c>
      <c r="W22">
        <f>'Summary Sheet'!$F$55</f>
        <v>0</v>
      </c>
      <c r="AA22">
        <v>2026</v>
      </c>
      <c r="AB22">
        <f>'Summary Sheet'!$G$55</f>
        <v>0</v>
      </c>
    </row>
    <row r="23" spans="1:28" ht="12.75">
      <c r="A23">
        <v>2027</v>
      </c>
      <c r="B23">
        <f>'Summary Sheet'!$B$55</f>
        <v>0</v>
      </c>
      <c r="G23">
        <v>2027</v>
      </c>
      <c r="H23">
        <f>'Summary Sheet'!$C$55</f>
        <v>0</v>
      </c>
      <c r="L23">
        <v>2027</v>
      </c>
      <c r="M23">
        <f>'Summary Sheet'!$D$55</f>
        <v>0</v>
      </c>
      <c r="Q23">
        <v>2027</v>
      </c>
      <c r="R23">
        <f>'Summary Sheet'!$E$55</f>
        <v>0</v>
      </c>
      <c r="V23">
        <v>2027</v>
      </c>
      <c r="W23">
        <f>'Summary Sheet'!$F$55</f>
        <v>0</v>
      </c>
      <c r="AA23">
        <v>2027</v>
      </c>
      <c r="AB23">
        <f>'Summary Sheet'!$G$55</f>
        <v>0</v>
      </c>
    </row>
    <row r="24" spans="1:28" ht="12.75">
      <c r="A24">
        <v>2028</v>
      </c>
      <c r="B24">
        <f>'Summary Sheet'!$B$55</f>
        <v>0</v>
      </c>
      <c r="G24">
        <v>2028</v>
      </c>
      <c r="H24">
        <f>'Summary Sheet'!$C$55</f>
        <v>0</v>
      </c>
      <c r="L24">
        <v>2028</v>
      </c>
      <c r="M24">
        <f>'Summary Sheet'!$D$55</f>
        <v>0</v>
      </c>
      <c r="Q24">
        <v>2028</v>
      </c>
      <c r="R24">
        <f>'Summary Sheet'!$E$55</f>
        <v>0</v>
      </c>
      <c r="V24">
        <v>2028</v>
      </c>
      <c r="W24">
        <f>'Summary Sheet'!$F$55</f>
        <v>0</v>
      </c>
      <c r="AA24">
        <v>2028</v>
      </c>
      <c r="AB24">
        <f>'Summary Sheet'!$G$55</f>
        <v>0</v>
      </c>
    </row>
    <row r="26" spans="1:28" ht="12.75">
      <c r="A26" t="s">
        <v>170</v>
      </c>
      <c r="B26">
        <f>SUM(B5:B24)</f>
        <v>0</v>
      </c>
      <c r="G26" t="s">
        <v>170</v>
      </c>
      <c r="H26">
        <f>SUM(H5:H24)</f>
        <v>0</v>
      </c>
      <c r="L26" t="s">
        <v>170</v>
      </c>
      <c r="M26">
        <f>SUM(M5:M24)</f>
        <v>0</v>
      </c>
      <c r="Q26" t="s">
        <v>170</v>
      </c>
      <c r="R26">
        <f>SUM(R5:R24)</f>
        <v>0</v>
      </c>
      <c r="V26" t="s">
        <v>170</v>
      </c>
      <c r="W26">
        <f>SUM(W5:W24)</f>
        <v>0</v>
      </c>
      <c r="AA26" t="s">
        <v>170</v>
      </c>
      <c r="AB26">
        <f>SUM(AB5:AB24)</f>
        <v>0</v>
      </c>
    </row>
    <row r="27" spans="1:29" ht="12.75">
      <c r="A27" t="s">
        <v>174</v>
      </c>
      <c r="B27" s="8">
        <f>NPV('Summary Sheet'!$B$67,B5:B24)</f>
        <v>0</v>
      </c>
      <c r="C27" s="8">
        <f>B27+C5</f>
        <v>0</v>
      </c>
      <c r="G27" t="s">
        <v>174</v>
      </c>
      <c r="H27" s="8">
        <f>NPV('Summary Sheet'!$C$67,H5:H24)</f>
        <v>0</v>
      </c>
      <c r="I27" s="8">
        <f>NPV('Summary Sheet'!$C$67,I5:I24)</f>
        <v>0</v>
      </c>
      <c r="L27" t="s">
        <v>174</v>
      </c>
      <c r="M27" s="8">
        <f>NPV('Summary Sheet'!$D$67,M5:M24)</f>
        <v>0</v>
      </c>
      <c r="N27" s="8">
        <f>M27+N5</f>
        <v>0</v>
      </c>
      <c r="Q27" t="s">
        <v>174</v>
      </c>
      <c r="R27" s="8">
        <f>NPV('Summary Sheet'!$E$67,R5:R24)</f>
        <v>0</v>
      </c>
      <c r="S27" s="8">
        <f>R27+S5</f>
        <v>0</v>
      </c>
      <c r="V27" t="s">
        <v>174</v>
      </c>
      <c r="W27" s="8">
        <f>NPV('Summary Sheet'!$F$67,W5:W24)</f>
        <v>0</v>
      </c>
      <c r="X27" s="8">
        <f>W27+X5</f>
        <v>0</v>
      </c>
      <c r="AA27" t="s">
        <v>174</v>
      </c>
      <c r="AB27" s="8">
        <f>NPV('Summary Sheet'!$G$67,AB5:AB24)</f>
        <v>0</v>
      </c>
      <c r="AC27" s="8">
        <f>AB27+AC5</f>
        <v>0</v>
      </c>
    </row>
    <row r="28" spans="2:29" ht="12.75">
      <c r="B28" s="8"/>
      <c r="C28" s="8"/>
      <c r="H28" s="8"/>
      <c r="I28" s="8">
        <f>H27+I27</f>
        <v>0</v>
      </c>
      <c r="J28" s="8"/>
      <c r="K28" s="8"/>
      <c r="M28" s="8"/>
      <c r="N28" s="8"/>
      <c r="R28" s="8"/>
      <c r="S28" s="8"/>
      <c r="W28" s="8"/>
      <c r="X28" s="8"/>
      <c r="AB28" s="8"/>
      <c r="AC28" s="8"/>
    </row>
    <row r="29" spans="2:29" ht="12.75">
      <c r="B29" s="8"/>
      <c r="C29" s="8"/>
      <c r="H29" s="8"/>
      <c r="I29" s="8"/>
      <c r="J29" s="8"/>
      <c r="K29" s="8"/>
      <c r="M29" s="8"/>
      <c r="N29" s="8"/>
      <c r="R29" s="8"/>
      <c r="S29" s="8"/>
      <c r="W29" s="8"/>
      <c r="X29" s="8"/>
      <c r="AB29" s="8"/>
      <c r="AC29" s="8"/>
    </row>
    <row r="30" spans="1:29" ht="12.75">
      <c r="A30" s="249" t="s">
        <v>146</v>
      </c>
      <c r="B30" s="249"/>
      <c r="C30" s="249"/>
      <c r="G30" s="249" t="s">
        <v>146</v>
      </c>
      <c r="H30" s="249"/>
      <c r="I30" s="249"/>
      <c r="J30" s="8"/>
      <c r="K30" s="8"/>
      <c r="L30" s="249" t="s">
        <v>146</v>
      </c>
      <c r="M30" s="249"/>
      <c r="N30" s="249"/>
      <c r="Q30" s="249" t="s">
        <v>146</v>
      </c>
      <c r="R30" s="249"/>
      <c r="S30" s="249"/>
      <c r="V30" s="249" t="s">
        <v>146</v>
      </c>
      <c r="W30" s="249"/>
      <c r="X30" s="249"/>
      <c r="AA30" s="249" t="s">
        <v>146</v>
      </c>
      <c r="AB30" s="249"/>
      <c r="AC30" s="249"/>
    </row>
    <row r="31" spans="1:29" ht="38.25">
      <c r="A31" s="7" t="s">
        <v>159</v>
      </c>
      <c r="B31" s="7" t="s">
        <v>710</v>
      </c>
      <c r="C31" s="7" t="s">
        <v>709</v>
      </c>
      <c r="G31" s="7" t="s">
        <v>159</v>
      </c>
      <c r="H31" s="7" t="s">
        <v>710</v>
      </c>
      <c r="I31" s="7" t="s">
        <v>709</v>
      </c>
      <c r="J31" s="8"/>
      <c r="K31" s="8"/>
      <c r="L31" s="7" t="s">
        <v>159</v>
      </c>
      <c r="M31" s="7" t="s">
        <v>710</v>
      </c>
      <c r="N31" s="7" t="s">
        <v>709</v>
      </c>
      <c r="Q31" s="7" t="s">
        <v>159</v>
      </c>
      <c r="R31" s="7" t="s">
        <v>710</v>
      </c>
      <c r="S31" s="7" t="s">
        <v>709</v>
      </c>
      <c r="V31" s="7" t="s">
        <v>159</v>
      </c>
      <c r="W31" s="7" t="s">
        <v>710</v>
      </c>
      <c r="X31" s="7" t="s">
        <v>709</v>
      </c>
      <c r="AA31" s="7" t="s">
        <v>159</v>
      </c>
      <c r="AB31" s="7" t="s">
        <v>710</v>
      </c>
      <c r="AC31" s="7" t="s">
        <v>709</v>
      </c>
    </row>
    <row r="32" spans="1:29" ht="12.75">
      <c r="A32">
        <v>2009</v>
      </c>
      <c r="B32">
        <f>'Summary Sheet'!$B$51*'Summary Sheet'!$B$6</f>
        <v>0</v>
      </c>
      <c r="C32">
        <f>'Summary Sheet'!$B$50*'Summary Sheet'!$B$6</f>
        <v>0</v>
      </c>
      <c r="G32">
        <v>2009</v>
      </c>
      <c r="H32">
        <f>'Summary Sheet'!$C$51*'Summary Sheet'!$C$6</f>
        <v>0</v>
      </c>
      <c r="I32">
        <v>0</v>
      </c>
      <c r="J32" s="8"/>
      <c r="K32" s="8"/>
      <c r="L32">
        <v>2009</v>
      </c>
      <c r="M32">
        <f>'Summary Sheet'!$D$51*'Summary Sheet'!$D$6</f>
        <v>0</v>
      </c>
      <c r="N32">
        <f>'Summary Sheet'!$D$50*'Summary Sheet'!$D$6</f>
        <v>0</v>
      </c>
      <c r="Q32">
        <v>2009</v>
      </c>
      <c r="R32">
        <f>'Summary Sheet'!$E$51*'Summary Sheet'!$E$6</f>
        <v>0</v>
      </c>
      <c r="S32">
        <f>'Summary Sheet'!$E$50*'Summary Sheet'!$E$6</f>
        <v>0</v>
      </c>
      <c r="V32">
        <v>2009</v>
      </c>
      <c r="W32">
        <f>'Summary Sheet'!$F$51*'Summary Sheet'!$F$6</f>
        <v>0</v>
      </c>
      <c r="X32">
        <f>'Summary Sheet'!$F$50*'Summary Sheet'!$F$6</f>
        <v>0</v>
      </c>
      <c r="AA32">
        <v>2009</v>
      </c>
      <c r="AB32">
        <f>'Summary Sheet'!$G$51*'Summary Sheet'!$G$6</f>
        <v>0</v>
      </c>
      <c r="AC32">
        <f>'Summary Sheet'!$G$50*'Summary Sheet'!$G$6</f>
        <v>0</v>
      </c>
    </row>
    <row r="33" spans="1:28" ht="12.75">
      <c r="A33">
        <v>2010</v>
      </c>
      <c r="B33">
        <f>'Summary Sheet'!$B$51*'Summary Sheet'!$B$6</f>
        <v>0</v>
      </c>
      <c r="G33">
        <v>2010</v>
      </c>
      <c r="H33">
        <f>'Summary Sheet'!$C$51*'Summary Sheet'!$C$6</f>
        <v>0</v>
      </c>
      <c r="I33">
        <f>'Summary Sheet'!$C$50*'Summary Sheet'!$C$6</f>
        <v>0</v>
      </c>
      <c r="J33" s="8"/>
      <c r="K33" s="8"/>
      <c r="L33">
        <v>2010</v>
      </c>
      <c r="M33">
        <f>'Summary Sheet'!$D$51*'Summary Sheet'!$D$6</f>
        <v>0</v>
      </c>
      <c r="Q33">
        <v>2010</v>
      </c>
      <c r="R33">
        <f>'Summary Sheet'!$E$51*'Summary Sheet'!$E$6</f>
        <v>0</v>
      </c>
      <c r="V33">
        <v>2010</v>
      </c>
      <c r="W33">
        <f>'Summary Sheet'!$F$51*'Summary Sheet'!$F$6</f>
        <v>0</v>
      </c>
      <c r="AA33">
        <v>2010</v>
      </c>
      <c r="AB33">
        <f>'Summary Sheet'!$G$51*'Summary Sheet'!$G$6</f>
        <v>0</v>
      </c>
    </row>
    <row r="34" spans="1:28" ht="12.75">
      <c r="A34">
        <v>2011</v>
      </c>
      <c r="B34">
        <f>'Summary Sheet'!$B$51*'Summary Sheet'!$B$6</f>
        <v>0</v>
      </c>
      <c r="G34">
        <v>2011</v>
      </c>
      <c r="H34">
        <f>'Summary Sheet'!$C$51*'Summary Sheet'!$C$6</f>
        <v>0</v>
      </c>
      <c r="J34" s="8"/>
      <c r="K34" s="8"/>
      <c r="L34">
        <v>2011</v>
      </c>
      <c r="M34">
        <f>'Summary Sheet'!$D$51*'Summary Sheet'!$D$6</f>
        <v>0</v>
      </c>
      <c r="Q34">
        <v>2011</v>
      </c>
      <c r="R34">
        <f>'Summary Sheet'!$E$51*'Summary Sheet'!$E$6</f>
        <v>0</v>
      </c>
      <c r="V34">
        <v>2011</v>
      </c>
      <c r="W34">
        <f>'Summary Sheet'!$F$51*'Summary Sheet'!$F$6</f>
        <v>0</v>
      </c>
      <c r="AA34">
        <v>2011</v>
      </c>
      <c r="AB34">
        <f>'Summary Sheet'!$G$51*'Summary Sheet'!$G$6</f>
        <v>0</v>
      </c>
    </row>
    <row r="35" spans="1:28" ht="12.75">
      <c r="A35">
        <v>2012</v>
      </c>
      <c r="B35">
        <f>'Summary Sheet'!$B$51*'Summary Sheet'!$B$6</f>
        <v>0</v>
      </c>
      <c r="G35">
        <v>2012</v>
      </c>
      <c r="H35">
        <f>'Summary Sheet'!$C$51*'Summary Sheet'!$C$6</f>
        <v>0</v>
      </c>
      <c r="J35" s="8"/>
      <c r="K35" s="8"/>
      <c r="L35">
        <v>2012</v>
      </c>
      <c r="M35">
        <f>'Summary Sheet'!$D$51*'Summary Sheet'!$D$6</f>
        <v>0</v>
      </c>
      <c r="Q35">
        <v>2012</v>
      </c>
      <c r="R35">
        <f>'Summary Sheet'!$E$51*'Summary Sheet'!$E$6</f>
        <v>0</v>
      </c>
      <c r="V35">
        <v>2012</v>
      </c>
      <c r="W35">
        <f>'Summary Sheet'!$F$51*'Summary Sheet'!$F$6</f>
        <v>0</v>
      </c>
      <c r="AA35">
        <v>2012</v>
      </c>
      <c r="AB35">
        <f>'Summary Sheet'!$G$51*'Summary Sheet'!$G$6</f>
        <v>0</v>
      </c>
    </row>
    <row r="36" spans="1:28" ht="12.75">
      <c r="A36">
        <v>2013</v>
      </c>
      <c r="B36">
        <f>'Summary Sheet'!$B$51*'Summary Sheet'!$B$6</f>
        <v>0</v>
      </c>
      <c r="G36">
        <v>2013</v>
      </c>
      <c r="H36">
        <f>'Summary Sheet'!$C$51*'Summary Sheet'!$C$6</f>
        <v>0</v>
      </c>
      <c r="J36" s="8"/>
      <c r="K36" s="8"/>
      <c r="L36">
        <v>2013</v>
      </c>
      <c r="M36">
        <f>'Summary Sheet'!$D$51*'Summary Sheet'!$D$6</f>
        <v>0</v>
      </c>
      <c r="Q36">
        <v>2013</v>
      </c>
      <c r="R36">
        <f>'Summary Sheet'!$E$51*'Summary Sheet'!$E$6</f>
        <v>0</v>
      </c>
      <c r="V36">
        <v>2013</v>
      </c>
      <c r="W36">
        <f>'Summary Sheet'!$F$51*'Summary Sheet'!$F$6</f>
        <v>0</v>
      </c>
      <c r="AA36">
        <v>2013</v>
      </c>
      <c r="AB36">
        <f>'Summary Sheet'!$G$51*'Summary Sheet'!$G$6</f>
        <v>0</v>
      </c>
    </row>
    <row r="37" spans="1:28" ht="12.75">
      <c r="A37">
        <v>2014</v>
      </c>
      <c r="B37">
        <f>'Summary Sheet'!$B$51*'Summary Sheet'!$B$6</f>
        <v>0</v>
      </c>
      <c r="G37">
        <v>2014</v>
      </c>
      <c r="H37">
        <f>'Summary Sheet'!$C$51*'Summary Sheet'!$C$6</f>
        <v>0</v>
      </c>
      <c r="J37" s="8"/>
      <c r="K37" s="8"/>
      <c r="L37">
        <v>2014</v>
      </c>
      <c r="M37">
        <f>'Summary Sheet'!$D$51*'Summary Sheet'!$D$6</f>
        <v>0</v>
      </c>
      <c r="Q37">
        <v>2014</v>
      </c>
      <c r="R37">
        <f>'Summary Sheet'!$E$51*'Summary Sheet'!$E$6</f>
        <v>0</v>
      </c>
      <c r="V37">
        <v>2014</v>
      </c>
      <c r="W37">
        <f>'Summary Sheet'!$F$51*'Summary Sheet'!$F$6</f>
        <v>0</v>
      </c>
      <c r="AA37">
        <v>2014</v>
      </c>
      <c r="AB37">
        <f>'Summary Sheet'!$G$51*'Summary Sheet'!$G$6</f>
        <v>0</v>
      </c>
    </row>
    <row r="38" spans="1:28" ht="12.75">
      <c r="A38">
        <v>2015</v>
      </c>
      <c r="B38">
        <f>'Summary Sheet'!$B$51*'Summary Sheet'!$B$6</f>
        <v>0</v>
      </c>
      <c r="G38">
        <v>2015</v>
      </c>
      <c r="H38">
        <f>'Summary Sheet'!$C$51*'Summary Sheet'!$C$6</f>
        <v>0</v>
      </c>
      <c r="J38" s="8"/>
      <c r="K38" s="8"/>
      <c r="L38">
        <v>2015</v>
      </c>
      <c r="M38">
        <f>'Summary Sheet'!$D$51*'Summary Sheet'!$D$6</f>
        <v>0</v>
      </c>
      <c r="Q38">
        <v>2015</v>
      </c>
      <c r="R38">
        <f>'Summary Sheet'!$E$51*'Summary Sheet'!$E$6</f>
        <v>0</v>
      </c>
      <c r="V38">
        <v>2015</v>
      </c>
      <c r="W38">
        <f>'Summary Sheet'!$F$51*'Summary Sheet'!$F$6</f>
        <v>0</v>
      </c>
      <c r="AA38">
        <v>2015</v>
      </c>
      <c r="AB38">
        <f>'Summary Sheet'!$G$51*'Summary Sheet'!$G$6</f>
        <v>0</v>
      </c>
    </row>
    <row r="39" spans="1:28" ht="12.75">
      <c r="A39">
        <v>2016</v>
      </c>
      <c r="B39">
        <f>'Summary Sheet'!$B$51*'Summary Sheet'!$B$6</f>
        <v>0</v>
      </c>
      <c r="G39">
        <v>2016</v>
      </c>
      <c r="H39">
        <f>'Summary Sheet'!$C$51*'Summary Sheet'!$C$6</f>
        <v>0</v>
      </c>
      <c r="J39" s="8"/>
      <c r="K39" s="8"/>
      <c r="L39">
        <v>2016</v>
      </c>
      <c r="M39">
        <f>'Summary Sheet'!$D$51*'Summary Sheet'!$D$6</f>
        <v>0</v>
      </c>
      <c r="Q39">
        <v>2016</v>
      </c>
      <c r="R39">
        <f>'Summary Sheet'!$E$51*'Summary Sheet'!$E$6</f>
        <v>0</v>
      </c>
      <c r="V39">
        <v>2016</v>
      </c>
      <c r="W39">
        <f>'Summary Sheet'!$F$51*'Summary Sheet'!$F$6</f>
        <v>0</v>
      </c>
      <c r="AA39">
        <v>2016</v>
      </c>
      <c r="AB39">
        <f>'Summary Sheet'!$G$51*'Summary Sheet'!$G$6</f>
        <v>0</v>
      </c>
    </row>
    <row r="40" spans="1:28" ht="12.75">
      <c r="A40">
        <v>2017</v>
      </c>
      <c r="B40">
        <f>'Summary Sheet'!$B$51*'Summary Sheet'!$B$6</f>
        <v>0</v>
      </c>
      <c r="G40">
        <v>2017</v>
      </c>
      <c r="H40">
        <f>'Summary Sheet'!$C$51*'Summary Sheet'!$C$6</f>
        <v>0</v>
      </c>
      <c r="J40" s="8"/>
      <c r="K40" s="8"/>
      <c r="L40">
        <v>2017</v>
      </c>
      <c r="M40">
        <f>'Summary Sheet'!$D$51*'Summary Sheet'!$D$6</f>
        <v>0</v>
      </c>
      <c r="Q40">
        <v>2017</v>
      </c>
      <c r="R40">
        <f>'Summary Sheet'!$E$51*'Summary Sheet'!$E$6</f>
        <v>0</v>
      </c>
      <c r="V40">
        <v>2017</v>
      </c>
      <c r="W40">
        <f>'Summary Sheet'!$F$51*'Summary Sheet'!$F$6</f>
        <v>0</v>
      </c>
      <c r="AA40">
        <v>2017</v>
      </c>
      <c r="AB40">
        <f>'Summary Sheet'!$G$51*'Summary Sheet'!$G$6</f>
        <v>0</v>
      </c>
    </row>
    <row r="41" spans="1:28" ht="12.75">
      <c r="A41">
        <v>2018</v>
      </c>
      <c r="B41">
        <f>'Summary Sheet'!$B$51*'Summary Sheet'!$B$6</f>
        <v>0</v>
      </c>
      <c r="G41">
        <v>2018</v>
      </c>
      <c r="H41">
        <f>'Summary Sheet'!$C$51*'Summary Sheet'!$C$6</f>
        <v>0</v>
      </c>
      <c r="J41" s="8"/>
      <c r="K41" s="8"/>
      <c r="L41">
        <v>2018</v>
      </c>
      <c r="M41">
        <f>'Summary Sheet'!$D$51*'Summary Sheet'!$D$6</f>
        <v>0</v>
      </c>
      <c r="Q41">
        <v>2018</v>
      </c>
      <c r="R41">
        <f>'Summary Sheet'!$E$51*'Summary Sheet'!$E$6</f>
        <v>0</v>
      </c>
      <c r="V41">
        <v>2018</v>
      </c>
      <c r="W41">
        <f>'Summary Sheet'!$F$51*'Summary Sheet'!$F$6</f>
        <v>0</v>
      </c>
      <c r="AA41">
        <v>2018</v>
      </c>
      <c r="AB41">
        <f>'Summary Sheet'!$G$51*'Summary Sheet'!$G$6</f>
        <v>0</v>
      </c>
    </row>
    <row r="42" spans="1:28" ht="12.75">
      <c r="A42">
        <v>2019</v>
      </c>
      <c r="B42">
        <f>'Summary Sheet'!$B$51*'Summary Sheet'!$B$6</f>
        <v>0</v>
      </c>
      <c r="G42">
        <v>2019</v>
      </c>
      <c r="H42">
        <f>'Summary Sheet'!$C$51*'Summary Sheet'!$C$6</f>
        <v>0</v>
      </c>
      <c r="J42" s="8"/>
      <c r="K42" s="8"/>
      <c r="L42">
        <v>2019</v>
      </c>
      <c r="M42">
        <f>'Summary Sheet'!$D$51*'Summary Sheet'!$D$6</f>
        <v>0</v>
      </c>
      <c r="Q42">
        <v>2019</v>
      </c>
      <c r="R42">
        <f>'Summary Sheet'!$E$51*'Summary Sheet'!$E$6</f>
        <v>0</v>
      </c>
      <c r="V42">
        <v>2019</v>
      </c>
      <c r="W42">
        <f>'Summary Sheet'!$F$51*'Summary Sheet'!$F$6</f>
        <v>0</v>
      </c>
      <c r="AA42">
        <v>2019</v>
      </c>
      <c r="AB42">
        <f>'Summary Sheet'!$G$51*'Summary Sheet'!$G$6</f>
        <v>0</v>
      </c>
    </row>
    <row r="43" spans="1:28" ht="12.75">
      <c r="A43">
        <v>2020</v>
      </c>
      <c r="B43">
        <f>'Summary Sheet'!$B$51*'Summary Sheet'!$B$6</f>
        <v>0</v>
      </c>
      <c r="G43">
        <v>2020</v>
      </c>
      <c r="H43">
        <f>'Summary Sheet'!$C$51*'Summary Sheet'!$C$6</f>
        <v>0</v>
      </c>
      <c r="J43" s="8"/>
      <c r="K43" s="8"/>
      <c r="L43">
        <v>2020</v>
      </c>
      <c r="M43">
        <f>'Summary Sheet'!$D$51*'Summary Sheet'!$D$6</f>
        <v>0</v>
      </c>
      <c r="Q43">
        <v>2020</v>
      </c>
      <c r="R43">
        <f>'Summary Sheet'!$E$51*'Summary Sheet'!$E$6</f>
        <v>0</v>
      </c>
      <c r="V43">
        <v>2020</v>
      </c>
      <c r="W43">
        <f>'Summary Sheet'!$F$51*'Summary Sheet'!$F$6</f>
        <v>0</v>
      </c>
      <c r="AA43">
        <v>2020</v>
      </c>
      <c r="AB43">
        <f>'Summary Sheet'!$G$51*'Summary Sheet'!$G$6</f>
        <v>0</v>
      </c>
    </row>
    <row r="44" spans="1:28" ht="12.75">
      <c r="A44">
        <v>2021</v>
      </c>
      <c r="B44">
        <f>'Summary Sheet'!$B$51*'Summary Sheet'!$B$6</f>
        <v>0</v>
      </c>
      <c r="G44">
        <v>2021</v>
      </c>
      <c r="H44">
        <f>'Summary Sheet'!$C$51*'Summary Sheet'!$C$6</f>
        <v>0</v>
      </c>
      <c r="J44" s="8"/>
      <c r="K44" s="8"/>
      <c r="L44">
        <v>2021</v>
      </c>
      <c r="M44">
        <f>'Summary Sheet'!$D$51*'Summary Sheet'!$D$6</f>
        <v>0</v>
      </c>
      <c r="Q44">
        <v>2021</v>
      </c>
      <c r="R44">
        <f>'Summary Sheet'!$E$51*'Summary Sheet'!$E$6</f>
        <v>0</v>
      </c>
      <c r="V44">
        <v>2021</v>
      </c>
      <c r="W44">
        <f>'Summary Sheet'!$F$51*'Summary Sheet'!$F$6</f>
        <v>0</v>
      </c>
      <c r="AA44">
        <v>2021</v>
      </c>
      <c r="AB44">
        <f>'Summary Sheet'!$G$51*'Summary Sheet'!$G$6</f>
        <v>0</v>
      </c>
    </row>
    <row r="45" spans="1:28" ht="12.75">
      <c r="A45">
        <v>2022</v>
      </c>
      <c r="B45">
        <f>'Summary Sheet'!$B$51*'Summary Sheet'!$B$6</f>
        <v>0</v>
      </c>
      <c r="G45">
        <v>2022</v>
      </c>
      <c r="H45">
        <f>'Summary Sheet'!$C$51*'Summary Sheet'!$C$6</f>
        <v>0</v>
      </c>
      <c r="J45" s="8"/>
      <c r="K45" s="8"/>
      <c r="L45">
        <v>2022</v>
      </c>
      <c r="M45">
        <f>'Summary Sheet'!$D$51*'Summary Sheet'!$D$6</f>
        <v>0</v>
      </c>
      <c r="Q45">
        <v>2022</v>
      </c>
      <c r="R45">
        <f>'Summary Sheet'!$E$51*'Summary Sheet'!$E$6</f>
        <v>0</v>
      </c>
      <c r="V45">
        <v>2022</v>
      </c>
      <c r="W45">
        <f>'Summary Sheet'!$F$51*'Summary Sheet'!$F$6</f>
        <v>0</v>
      </c>
      <c r="AA45">
        <v>2022</v>
      </c>
      <c r="AB45">
        <f>'Summary Sheet'!$G$51*'Summary Sheet'!$G$6</f>
        <v>0</v>
      </c>
    </row>
    <row r="46" spans="1:28" ht="12.75">
      <c r="A46">
        <v>2023</v>
      </c>
      <c r="B46">
        <f>'Summary Sheet'!$B$51*'Summary Sheet'!$B$6</f>
        <v>0</v>
      </c>
      <c r="G46">
        <v>2023</v>
      </c>
      <c r="H46">
        <f>'Summary Sheet'!$C$51*'Summary Sheet'!$C$6</f>
        <v>0</v>
      </c>
      <c r="J46" s="8"/>
      <c r="K46" s="8"/>
      <c r="L46">
        <v>2023</v>
      </c>
      <c r="M46">
        <f>'Summary Sheet'!$D$51*'Summary Sheet'!$D$6</f>
        <v>0</v>
      </c>
      <c r="Q46">
        <v>2023</v>
      </c>
      <c r="R46">
        <f>'Summary Sheet'!$E$51*'Summary Sheet'!$E$6</f>
        <v>0</v>
      </c>
      <c r="V46">
        <v>2023</v>
      </c>
      <c r="W46">
        <f>'Summary Sheet'!$F$51*'Summary Sheet'!$F$6</f>
        <v>0</v>
      </c>
      <c r="AA46">
        <v>2023</v>
      </c>
      <c r="AB46">
        <f>'Summary Sheet'!$G$51*'Summary Sheet'!$G$6</f>
        <v>0</v>
      </c>
    </row>
    <row r="47" spans="1:28" ht="12.75">
      <c r="A47">
        <v>2024</v>
      </c>
      <c r="B47">
        <f>'Summary Sheet'!$B$51*'Summary Sheet'!$B$6</f>
        <v>0</v>
      </c>
      <c r="G47">
        <v>2024</v>
      </c>
      <c r="H47">
        <f>'Summary Sheet'!$C$51*'Summary Sheet'!$C$6</f>
        <v>0</v>
      </c>
      <c r="J47" s="8"/>
      <c r="K47" s="8"/>
      <c r="L47">
        <v>2024</v>
      </c>
      <c r="M47">
        <f>'Summary Sheet'!$D$51*'Summary Sheet'!$D$6</f>
        <v>0</v>
      </c>
      <c r="Q47">
        <v>2024</v>
      </c>
      <c r="R47">
        <f>'Summary Sheet'!$E$51*'Summary Sheet'!$E$6</f>
        <v>0</v>
      </c>
      <c r="V47">
        <v>2024</v>
      </c>
      <c r="W47">
        <f>'Summary Sheet'!$F$51*'Summary Sheet'!$F$6</f>
        <v>0</v>
      </c>
      <c r="AA47">
        <v>2024</v>
      </c>
      <c r="AB47">
        <f>'Summary Sheet'!$G$51*'Summary Sheet'!$G$6</f>
        <v>0</v>
      </c>
    </row>
    <row r="48" spans="1:28" ht="12.75">
      <c r="A48">
        <v>2025</v>
      </c>
      <c r="B48">
        <f>'Summary Sheet'!$B$51*'Summary Sheet'!$B$6</f>
        <v>0</v>
      </c>
      <c r="G48">
        <v>2025</v>
      </c>
      <c r="H48">
        <f>'Summary Sheet'!$C$51*'Summary Sheet'!$C$6</f>
        <v>0</v>
      </c>
      <c r="J48" s="8"/>
      <c r="K48" s="8"/>
      <c r="L48">
        <v>2025</v>
      </c>
      <c r="M48">
        <f>'Summary Sheet'!$D$51*'Summary Sheet'!$D$6</f>
        <v>0</v>
      </c>
      <c r="Q48">
        <v>2025</v>
      </c>
      <c r="R48">
        <f>'Summary Sheet'!$E$51*'Summary Sheet'!$E$6</f>
        <v>0</v>
      </c>
      <c r="V48">
        <v>2025</v>
      </c>
      <c r="W48">
        <f>'Summary Sheet'!$F$51*'Summary Sheet'!$F$6</f>
        <v>0</v>
      </c>
      <c r="AA48">
        <v>2025</v>
      </c>
      <c r="AB48">
        <f>'Summary Sheet'!$G$51*'Summary Sheet'!$G$6</f>
        <v>0</v>
      </c>
    </row>
    <row r="49" spans="1:28" ht="12.75">
      <c r="A49">
        <v>2026</v>
      </c>
      <c r="B49">
        <f>'Summary Sheet'!$B$51*'Summary Sheet'!$B$6</f>
        <v>0</v>
      </c>
      <c r="G49">
        <v>2026</v>
      </c>
      <c r="H49">
        <f>'Summary Sheet'!$C$51*'Summary Sheet'!$C$6</f>
        <v>0</v>
      </c>
      <c r="J49" s="8"/>
      <c r="K49" s="8"/>
      <c r="L49">
        <v>2026</v>
      </c>
      <c r="M49">
        <f>'Summary Sheet'!$D$51*'Summary Sheet'!$D$6</f>
        <v>0</v>
      </c>
      <c r="Q49">
        <v>2026</v>
      </c>
      <c r="R49">
        <f>'Summary Sheet'!$E$51*'Summary Sheet'!$E$6</f>
        <v>0</v>
      </c>
      <c r="V49">
        <v>2026</v>
      </c>
      <c r="W49">
        <f>'Summary Sheet'!$F$51*'Summary Sheet'!$F$6</f>
        <v>0</v>
      </c>
      <c r="AA49">
        <v>2026</v>
      </c>
      <c r="AB49">
        <f>'Summary Sheet'!$G$51*'Summary Sheet'!$G$6</f>
        <v>0</v>
      </c>
    </row>
    <row r="50" spans="1:28" ht="12.75">
      <c r="A50">
        <v>2027</v>
      </c>
      <c r="B50">
        <f>'Summary Sheet'!$B$51*'Summary Sheet'!$B$6</f>
        <v>0</v>
      </c>
      <c r="G50">
        <v>2027</v>
      </c>
      <c r="H50">
        <f>'Summary Sheet'!$C$51*'Summary Sheet'!$C$6</f>
        <v>0</v>
      </c>
      <c r="J50" s="8"/>
      <c r="K50" s="8"/>
      <c r="L50">
        <v>2027</v>
      </c>
      <c r="M50">
        <f>'Summary Sheet'!$D$51*'Summary Sheet'!$D$6</f>
        <v>0</v>
      </c>
      <c r="Q50">
        <v>2027</v>
      </c>
      <c r="R50">
        <f>'Summary Sheet'!$E$51*'Summary Sheet'!$E$6</f>
        <v>0</v>
      </c>
      <c r="V50">
        <v>2027</v>
      </c>
      <c r="W50">
        <f>'Summary Sheet'!$F$51*'Summary Sheet'!$F$6</f>
        <v>0</v>
      </c>
      <c r="AA50">
        <v>2027</v>
      </c>
      <c r="AB50">
        <f>'Summary Sheet'!$G$51*'Summary Sheet'!$G$6</f>
        <v>0</v>
      </c>
    </row>
    <row r="51" spans="1:28" ht="12.75">
      <c r="A51">
        <v>2028</v>
      </c>
      <c r="B51">
        <f>'Summary Sheet'!$B$51*'Summary Sheet'!$B$6</f>
        <v>0</v>
      </c>
      <c r="G51">
        <v>2028</v>
      </c>
      <c r="H51">
        <f>'Summary Sheet'!$C$51*'Summary Sheet'!$C$6</f>
        <v>0</v>
      </c>
      <c r="J51" s="8"/>
      <c r="K51" s="8"/>
      <c r="L51">
        <v>2028</v>
      </c>
      <c r="M51">
        <f>'Summary Sheet'!$D$51*'Summary Sheet'!$D$6</f>
        <v>0</v>
      </c>
      <c r="Q51">
        <v>2028</v>
      </c>
      <c r="R51">
        <f>'Summary Sheet'!$E$51*'Summary Sheet'!$E$6</f>
        <v>0</v>
      </c>
      <c r="V51">
        <v>2028</v>
      </c>
      <c r="W51">
        <f>'Summary Sheet'!$F$51*'Summary Sheet'!$F$6</f>
        <v>0</v>
      </c>
      <c r="AA51">
        <v>2028</v>
      </c>
      <c r="AB51">
        <f>'Summary Sheet'!$G$51*'Summary Sheet'!$G$6</f>
        <v>0</v>
      </c>
    </row>
    <row r="52" spans="10:11" ht="12.75">
      <c r="J52" s="8"/>
      <c r="K52" s="8"/>
    </row>
    <row r="53" spans="1:28" ht="12.75">
      <c r="A53" t="s">
        <v>170</v>
      </c>
      <c r="B53">
        <f>SUM(B32:B51)</f>
        <v>0</v>
      </c>
      <c r="G53" t="s">
        <v>170</v>
      </c>
      <c r="H53">
        <f>SUM(H32:H51)</f>
        <v>0</v>
      </c>
      <c r="J53" s="8"/>
      <c r="K53" s="8"/>
      <c r="L53" t="s">
        <v>170</v>
      </c>
      <c r="M53">
        <f>SUM(M32:M51)</f>
        <v>0</v>
      </c>
      <c r="Q53" t="s">
        <v>170</v>
      </c>
      <c r="R53">
        <f>SUM(R32:R51)</f>
        <v>0</v>
      </c>
      <c r="V53" t="s">
        <v>170</v>
      </c>
      <c r="W53">
        <f>SUM(W32:W51)</f>
        <v>0</v>
      </c>
      <c r="AA53" t="s">
        <v>170</v>
      </c>
      <c r="AB53">
        <f>SUM(AB32:AB51)</f>
        <v>0</v>
      </c>
    </row>
    <row r="54" spans="1:29" ht="12.75">
      <c r="A54" t="s">
        <v>174</v>
      </c>
      <c r="B54" s="8">
        <f>NPV('Summary Sheet'!$B$67,B32:B51)</f>
        <v>0</v>
      </c>
      <c r="C54" s="8">
        <f>B54+C32</f>
        <v>0</v>
      </c>
      <c r="G54" t="s">
        <v>174</v>
      </c>
      <c r="H54" s="8">
        <f>NPV('Summary Sheet'!$C$67,H32:H51)</f>
        <v>0</v>
      </c>
      <c r="I54" s="8">
        <f>NPV('Summary Sheet'!$C$67,I32:I51)</f>
        <v>0</v>
      </c>
      <c r="J54" s="8"/>
      <c r="K54" s="8"/>
      <c r="L54" t="s">
        <v>174</v>
      </c>
      <c r="M54" s="8">
        <f>NPV('Summary Sheet'!$D$67,M32:M51)</f>
        <v>0</v>
      </c>
      <c r="N54" s="8">
        <f>M54+N32</f>
        <v>0</v>
      </c>
      <c r="Q54" t="s">
        <v>174</v>
      </c>
      <c r="R54" s="8">
        <f>NPV('Summary Sheet'!$E$67,R32:R51)</f>
        <v>0</v>
      </c>
      <c r="S54" s="8">
        <f>R54+S32</f>
        <v>0</v>
      </c>
      <c r="V54" t="s">
        <v>174</v>
      </c>
      <c r="W54" s="8">
        <f>NPV('Summary Sheet'!$F$67,W32:W51)</f>
        <v>0</v>
      </c>
      <c r="X54" s="8">
        <f>W54+X32</f>
        <v>0</v>
      </c>
      <c r="AA54" t="s">
        <v>174</v>
      </c>
      <c r="AB54" s="8">
        <f>NPV('Summary Sheet'!$G$67,AB32:AB51)</f>
        <v>0</v>
      </c>
      <c r="AC54" s="8">
        <f>AB54+AC32</f>
        <v>0</v>
      </c>
    </row>
    <row r="55" spans="2:29" ht="12.75">
      <c r="B55" s="8"/>
      <c r="C55" s="8"/>
      <c r="H55" s="8"/>
      <c r="I55" s="8">
        <f>H54+I54</f>
        <v>0</v>
      </c>
      <c r="J55" s="8"/>
      <c r="K55" s="8"/>
      <c r="M55" s="8"/>
      <c r="N55" s="8"/>
      <c r="R55" s="8"/>
      <c r="S55" s="8"/>
      <c r="W55" s="8"/>
      <c r="X55" s="8"/>
      <c r="AB55" s="8"/>
      <c r="AC55" s="8"/>
    </row>
    <row r="57" spans="1:29" ht="12.75">
      <c r="A57" s="249" t="s">
        <v>154</v>
      </c>
      <c r="B57" s="249"/>
      <c r="C57" s="249"/>
      <c r="G57" s="249" t="s">
        <v>154</v>
      </c>
      <c r="H57" s="249"/>
      <c r="I57" s="249"/>
      <c r="L57" s="249" t="s">
        <v>154</v>
      </c>
      <c r="M57" s="249"/>
      <c r="N57" s="249"/>
      <c r="Q57" s="249" t="s">
        <v>154</v>
      </c>
      <c r="R57" s="249"/>
      <c r="S57" s="249"/>
      <c r="V57" s="249" t="s">
        <v>154</v>
      </c>
      <c r="W57" s="249"/>
      <c r="X57" s="249"/>
      <c r="AA57" s="249" t="s">
        <v>154</v>
      </c>
      <c r="AB57" s="249"/>
      <c r="AC57" s="249"/>
    </row>
    <row r="58" spans="1:29" ht="25.5">
      <c r="A58" s="7" t="s">
        <v>159</v>
      </c>
      <c r="B58" s="7" t="s">
        <v>148</v>
      </c>
      <c r="C58" s="7" t="s">
        <v>185</v>
      </c>
      <c r="G58" s="7" t="s">
        <v>159</v>
      </c>
      <c r="H58" s="7" t="s">
        <v>148</v>
      </c>
      <c r="I58" s="7" t="s">
        <v>185</v>
      </c>
      <c r="L58" s="7" t="s">
        <v>159</v>
      </c>
      <c r="M58" s="7" t="s">
        <v>148</v>
      </c>
      <c r="N58" s="7" t="s">
        <v>185</v>
      </c>
      <c r="Q58" s="7" t="s">
        <v>159</v>
      </c>
      <c r="R58" s="7" t="s">
        <v>148</v>
      </c>
      <c r="S58" s="7" t="s">
        <v>185</v>
      </c>
      <c r="V58" s="7" t="s">
        <v>159</v>
      </c>
      <c r="W58" s="7" t="s">
        <v>148</v>
      </c>
      <c r="X58" s="7" t="s">
        <v>185</v>
      </c>
      <c r="AA58" s="7" t="s">
        <v>159</v>
      </c>
      <c r="AB58" s="7" t="s">
        <v>148</v>
      </c>
      <c r="AC58" s="7" t="s">
        <v>185</v>
      </c>
    </row>
    <row r="59" spans="1:28" ht="12.75">
      <c r="A59">
        <v>2009</v>
      </c>
      <c r="B59" t="e">
        <f>Benefits!E138*0.483</f>
        <v>#DIV/0!</v>
      </c>
      <c r="G59">
        <v>2009</v>
      </c>
      <c r="H59">
        <v>0</v>
      </c>
      <c r="L59">
        <v>2009</v>
      </c>
      <c r="M59" t="e">
        <f>Benefits!AE138*0.483</f>
        <v>#DIV/0!</v>
      </c>
      <c r="Q59">
        <v>2009</v>
      </c>
      <c r="R59" t="e">
        <f>Benefits!AR138*0.483</f>
        <v>#DIV/0!</v>
      </c>
      <c r="V59">
        <v>2009</v>
      </c>
      <c r="W59" t="e">
        <f>Benefits!BE138*0.483</f>
        <v>#DIV/0!</v>
      </c>
      <c r="AA59">
        <v>2009</v>
      </c>
      <c r="AB59" t="e">
        <f>Benefits!BR138*0.483</f>
        <v>#DIV/0!</v>
      </c>
    </row>
    <row r="60" spans="1:28" ht="12.75">
      <c r="A60">
        <v>2010</v>
      </c>
      <c r="B60" t="e">
        <f>Benefits!E139*0.483</f>
        <v>#DIV/0!</v>
      </c>
      <c r="G60">
        <v>2010</v>
      </c>
      <c r="H60" t="e">
        <f>Benefits!R139*0.483</f>
        <v>#DIV/0!</v>
      </c>
      <c r="L60">
        <v>2010</v>
      </c>
      <c r="M60" t="e">
        <f>Benefits!AE139*0.483</f>
        <v>#DIV/0!</v>
      </c>
      <c r="Q60">
        <v>2010</v>
      </c>
      <c r="R60" t="e">
        <f>Benefits!AR139*0.483</f>
        <v>#DIV/0!</v>
      </c>
      <c r="V60">
        <v>2010</v>
      </c>
      <c r="W60" t="e">
        <f>Benefits!BE139*0.483</f>
        <v>#DIV/0!</v>
      </c>
      <c r="AA60">
        <v>2010</v>
      </c>
      <c r="AB60" t="e">
        <f>Benefits!BR139*0.483</f>
        <v>#DIV/0!</v>
      </c>
    </row>
    <row r="61" spans="1:28" ht="12.75">
      <c r="A61">
        <v>2011</v>
      </c>
      <c r="B61" t="e">
        <f>Benefits!E140*0.483</f>
        <v>#DIV/0!</v>
      </c>
      <c r="G61">
        <v>2011</v>
      </c>
      <c r="H61" t="e">
        <f>Benefits!R140*0.483</f>
        <v>#DIV/0!</v>
      </c>
      <c r="L61">
        <v>2011</v>
      </c>
      <c r="M61" t="e">
        <f>Benefits!AE140*0.483</f>
        <v>#DIV/0!</v>
      </c>
      <c r="Q61">
        <v>2011</v>
      </c>
      <c r="R61" t="e">
        <f>Benefits!AR140*0.483</f>
        <v>#DIV/0!</v>
      </c>
      <c r="V61">
        <v>2011</v>
      </c>
      <c r="W61" t="e">
        <f>Benefits!BE140*0.483</f>
        <v>#DIV/0!</v>
      </c>
      <c r="AA61">
        <v>2011</v>
      </c>
      <c r="AB61" t="e">
        <f>Benefits!BR140*0.483</f>
        <v>#DIV/0!</v>
      </c>
    </row>
    <row r="62" spans="1:28" ht="12.75">
      <c r="A62">
        <v>2012</v>
      </c>
      <c r="B62" t="e">
        <f>Benefits!E141*0.483</f>
        <v>#DIV/0!</v>
      </c>
      <c r="G62">
        <v>2012</v>
      </c>
      <c r="H62" t="e">
        <f>Benefits!R141*0.483</f>
        <v>#DIV/0!</v>
      </c>
      <c r="L62">
        <v>2012</v>
      </c>
      <c r="M62" t="e">
        <f>Benefits!AE141*0.483</f>
        <v>#DIV/0!</v>
      </c>
      <c r="Q62">
        <v>2012</v>
      </c>
      <c r="R62" t="e">
        <f>Benefits!AR141*0.483</f>
        <v>#DIV/0!</v>
      </c>
      <c r="V62">
        <v>2012</v>
      </c>
      <c r="W62" t="e">
        <f>Benefits!BE141*0.483</f>
        <v>#DIV/0!</v>
      </c>
      <c r="AA62">
        <v>2012</v>
      </c>
      <c r="AB62" t="e">
        <f>Benefits!BR141*0.483</f>
        <v>#DIV/0!</v>
      </c>
    </row>
    <row r="63" spans="1:28" ht="12.75">
      <c r="A63">
        <v>2013</v>
      </c>
      <c r="B63" t="e">
        <f>Benefits!E142*0.483</f>
        <v>#DIV/0!</v>
      </c>
      <c r="G63">
        <v>2013</v>
      </c>
      <c r="H63" t="e">
        <f>Benefits!R142*0.483</f>
        <v>#DIV/0!</v>
      </c>
      <c r="L63">
        <v>2013</v>
      </c>
      <c r="M63" t="e">
        <f>Benefits!AE142*0.483</f>
        <v>#DIV/0!</v>
      </c>
      <c r="Q63">
        <v>2013</v>
      </c>
      <c r="R63" t="e">
        <f>Benefits!AR142*0.483</f>
        <v>#DIV/0!</v>
      </c>
      <c r="V63">
        <v>2013</v>
      </c>
      <c r="W63" t="e">
        <f>Benefits!BE142*0.483</f>
        <v>#DIV/0!</v>
      </c>
      <c r="AA63">
        <v>2013</v>
      </c>
      <c r="AB63" t="e">
        <f>Benefits!BR142*0.483</f>
        <v>#DIV/0!</v>
      </c>
    </row>
    <row r="64" spans="1:28" ht="12.75">
      <c r="A64">
        <v>2014</v>
      </c>
      <c r="B64" t="e">
        <f>Benefits!E143*0.483</f>
        <v>#DIV/0!</v>
      </c>
      <c r="G64">
        <v>2014</v>
      </c>
      <c r="H64" t="e">
        <f>Benefits!R143*0.483</f>
        <v>#DIV/0!</v>
      </c>
      <c r="L64">
        <v>2014</v>
      </c>
      <c r="M64" t="e">
        <f>Benefits!AE143*0.483</f>
        <v>#DIV/0!</v>
      </c>
      <c r="Q64">
        <v>2014</v>
      </c>
      <c r="R64" t="e">
        <f>Benefits!AR143*0.483</f>
        <v>#DIV/0!</v>
      </c>
      <c r="V64">
        <v>2014</v>
      </c>
      <c r="W64" t="e">
        <f>Benefits!BE143*0.483</f>
        <v>#DIV/0!</v>
      </c>
      <c r="AA64">
        <v>2014</v>
      </c>
      <c r="AB64" t="e">
        <f>Benefits!BR143*0.483</f>
        <v>#DIV/0!</v>
      </c>
    </row>
    <row r="65" spans="1:28" ht="12.75">
      <c r="A65">
        <v>2015</v>
      </c>
      <c r="B65" t="e">
        <f>Benefits!E144*0.483</f>
        <v>#DIV/0!</v>
      </c>
      <c r="G65">
        <v>2015</v>
      </c>
      <c r="H65" t="e">
        <f>Benefits!R144*0.483</f>
        <v>#DIV/0!</v>
      </c>
      <c r="L65">
        <v>2015</v>
      </c>
      <c r="M65" t="e">
        <f>Benefits!AE144*0.483</f>
        <v>#DIV/0!</v>
      </c>
      <c r="Q65">
        <v>2015</v>
      </c>
      <c r="R65" t="e">
        <f>Benefits!AR144*0.483</f>
        <v>#DIV/0!</v>
      </c>
      <c r="V65">
        <v>2015</v>
      </c>
      <c r="W65" t="e">
        <f>Benefits!BE144*0.483</f>
        <v>#DIV/0!</v>
      </c>
      <c r="AA65">
        <v>2015</v>
      </c>
      <c r="AB65" t="e">
        <f>Benefits!BR144*0.483</f>
        <v>#DIV/0!</v>
      </c>
    </row>
    <row r="66" spans="1:28" ht="12.75">
      <c r="A66">
        <v>2016</v>
      </c>
      <c r="B66" t="e">
        <f>Benefits!E145*0.483</f>
        <v>#DIV/0!</v>
      </c>
      <c r="G66">
        <v>2016</v>
      </c>
      <c r="H66" t="e">
        <f>Benefits!R145*0.483</f>
        <v>#DIV/0!</v>
      </c>
      <c r="L66">
        <v>2016</v>
      </c>
      <c r="M66" t="e">
        <f>Benefits!AE145*0.483</f>
        <v>#DIV/0!</v>
      </c>
      <c r="Q66">
        <v>2016</v>
      </c>
      <c r="R66" t="e">
        <f>Benefits!AR145*0.483</f>
        <v>#DIV/0!</v>
      </c>
      <c r="V66">
        <v>2016</v>
      </c>
      <c r="W66" t="e">
        <f>Benefits!BE145*0.483</f>
        <v>#DIV/0!</v>
      </c>
      <c r="AA66">
        <v>2016</v>
      </c>
      <c r="AB66" t="e">
        <f>Benefits!BR145*0.483</f>
        <v>#DIV/0!</v>
      </c>
    </row>
    <row r="67" spans="1:28" ht="12.75">
      <c r="A67">
        <v>2017</v>
      </c>
      <c r="B67" t="e">
        <f>Benefits!E146*0.483</f>
        <v>#DIV/0!</v>
      </c>
      <c r="G67">
        <v>2017</v>
      </c>
      <c r="H67" t="e">
        <f>Benefits!R146*0.483</f>
        <v>#DIV/0!</v>
      </c>
      <c r="L67">
        <v>2017</v>
      </c>
      <c r="M67" t="e">
        <f>Benefits!AE146*0.483</f>
        <v>#DIV/0!</v>
      </c>
      <c r="Q67">
        <v>2017</v>
      </c>
      <c r="R67" t="e">
        <f>Benefits!AR146*0.483</f>
        <v>#DIV/0!</v>
      </c>
      <c r="V67">
        <v>2017</v>
      </c>
      <c r="W67" t="e">
        <f>Benefits!BE146*0.483</f>
        <v>#DIV/0!</v>
      </c>
      <c r="AA67">
        <v>2017</v>
      </c>
      <c r="AB67" t="e">
        <f>Benefits!BR146*0.483</f>
        <v>#DIV/0!</v>
      </c>
    </row>
    <row r="68" spans="1:28" ht="12.75">
      <c r="A68">
        <v>2018</v>
      </c>
      <c r="B68" t="e">
        <f>Benefits!E147*0.483</f>
        <v>#DIV/0!</v>
      </c>
      <c r="G68">
        <v>2018</v>
      </c>
      <c r="H68" t="e">
        <f>Benefits!R147*0.483</f>
        <v>#DIV/0!</v>
      </c>
      <c r="L68">
        <v>2018</v>
      </c>
      <c r="M68" t="e">
        <f>Benefits!AE147*0.483</f>
        <v>#DIV/0!</v>
      </c>
      <c r="Q68">
        <v>2018</v>
      </c>
      <c r="R68" t="e">
        <f>Benefits!AR147*0.483</f>
        <v>#DIV/0!</v>
      </c>
      <c r="V68">
        <v>2018</v>
      </c>
      <c r="W68" t="e">
        <f>Benefits!BE147*0.483</f>
        <v>#DIV/0!</v>
      </c>
      <c r="AA68">
        <v>2018</v>
      </c>
      <c r="AB68" t="e">
        <f>Benefits!BR147*0.483</f>
        <v>#DIV/0!</v>
      </c>
    </row>
    <row r="69" spans="1:28" ht="12.75">
      <c r="A69">
        <v>2019</v>
      </c>
      <c r="B69" t="e">
        <f>Benefits!E148*0.483</f>
        <v>#DIV/0!</v>
      </c>
      <c r="G69">
        <v>2019</v>
      </c>
      <c r="H69" t="e">
        <f>Benefits!R148*0.483</f>
        <v>#DIV/0!</v>
      </c>
      <c r="L69">
        <v>2019</v>
      </c>
      <c r="M69" t="e">
        <f>Benefits!AE148*0.483</f>
        <v>#DIV/0!</v>
      </c>
      <c r="Q69">
        <v>2019</v>
      </c>
      <c r="R69" t="e">
        <f>Benefits!AR148*0.483</f>
        <v>#DIV/0!</v>
      </c>
      <c r="V69">
        <v>2019</v>
      </c>
      <c r="W69" t="e">
        <f>Benefits!BE148*0.483</f>
        <v>#DIV/0!</v>
      </c>
      <c r="AA69">
        <v>2019</v>
      </c>
      <c r="AB69" t="e">
        <f>Benefits!BR148*0.483</f>
        <v>#DIV/0!</v>
      </c>
    </row>
    <row r="70" spans="1:28" ht="12.75">
      <c r="A70">
        <v>2020</v>
      </c>
      <c r="B70" t="e">
        <f>Benefits!E149*0.483</f>
        <v>#DIV/0!</v>
      </c>
      <c r="G70">
        <v>2020</v>
      </c>
      <c r="H70" t="e">
        <f>Benefits!R149*0.483</f>
        <v>#DIV/0!</v>
      </c>
      <c r="L70">
        <v>2020</v>
      </c>
      <c r="M70" t="e">
        <f>Benefits!AE149*0.483</f>
        <v>#DIV/0!</v>
      </c>
      <c r="Q70">
        <v>2020</v>
      </c>
      <c r="R70" t="e">
        <f>Benefits!AR149*0.483</f>
        <v>#DIV/0!</v>
      </c>
      <c r="V70">
        <v>2020</v>
      </c>
      <c r="W70" t="e">
        <f>Benefits!BE149*0.483</f>
        <v>#DIV/0!</v>
      </c>
      <c r="AA70">
        <v>2020</v>
      </c>
      <c r="AB70" t="e">
        <f>Benefits!BR149*0.483</f>
        <v>#DIV/0!</v>
      </c>
    </row>
    <row r="71" spans="1:28" ht="12.75">
      <c r="A71">
        <v>2021</v>
      </c>
      <c r="B71" t="e">
        <f>Benefits!E150*0.483</f>
        <v>#DIV/0!</v>
      </c>
      <c r="G71">
        <v>2021</v>
      </c>
      <c r="H71" t="e">
        <f>Benefits!R150*0.483</f>
        <v>#DIV/0!</v>
      </c>
      <c r="L71">
        <v>2021</v>
      </c>
      <c r="M71" t="e">
        <f>Benefits!AE150*0.483</f>
        <v>#DIV/0!</v>
      </c>
      <c r="Q71">
        <v>2021</v>
      </c>
      <c r="R71" t="e">
        <f>Benefits!AR150*0.483</f>
        <v>#DIV/0!</v>
      </c>
      <c r="V71">
        <v>2021</v>
      </c>
      <c r="W71" t="e">
        <f>Benefits!BE150*0.483</f>
        <v>#DIV/0!</v>
      </c>
      <c r="AA71">
        <v>2021</v>
      </c>
      <c r="AB71" t="e">
        <f>Benefits!BR150*0.483</f>
        <v>#DIV/0!</v>
      </c>
    </row>
    <row r="72" spans="1:28" ht="12.75">
      <c r="A72">
        <v>2022</v>
      </c>
      <c r="B72" t="e">
        <f>Benefits!E151*0.483</f>
        <v>#DIV/0!</v>
      </c>
      <c r="G72">
        <v>2022</v>
      </c>
      <c r="H72" t="e">
        <f>Benefits!R151*0.483</f>
        <v>#DIV/0!</v>
      </c>
      <c r="L72">
        <v>2022</v>
      </c>
      <c r="M72" t="e">
        <f>Benefits!AE151*0.483</f>
        <v>#DIV/0!</v>
      </c>
      <c r="Q72">
        <v>2022</v>
      </c>
      <c r="R72" t="e">
        <f>Benefits!AR151*0.483</f>
        <v>#DIV/0!</v>
      </c>
      <c r="V72">
        <v>2022</v>
      </c>
      <c r="W72" t="e">
        <f>Benefits!BE151*0.483</f>
        <v>#DIV/0!</v>
      </c>
      <c r="AA72">
        <v>2022</v>
      </c>
      <c r="AB72" t="e">
        <f>Benefits!BR151*0.483</f>
        <v>#DIV/0!</v>
      </c>
    </row>
    <row r="73" spans="1:28" ht="12.75">
      <c r="A73">
        <v>2023</v>
      </c>
      <c r="B73" t="e">
        <f>Benefits!E152*0.483</f>
        <v>#DIV/0!</v>
      </c>
      <c r="G73">
        <v>2023</v>
      </c>
      <c r="H73" t="e">
        <f>Benefits!R152*0.483</f>
        <v>#DIV/0!</v>
      </c>
      <c r="L73">
        <v>2023</v>
      </c>
      <c r="M73" t="e">
        <f>Benefits!AE152*0.483</f>
        <v>#DIV/0!</v>
      </c>
      <c r="Q73">
        <v>2023</v>
      </c>
      <c r="R73" t="e">
        <f>Benefits!AR152*0.483</f>
        <v>#DIV/0!</v>
      </c>
      <c r="V73">
        <v>2023</v>
      </c>
      <c r="W73" t="e">
        <f>Benefits!BE152*0.483</f>
        <v>#DIV/0!</v>
      </c>
      <c r="AA73">
        <v>2023</v>
      </c>
      <c r="AB73" t="e">
        <f>Benefits!BR152*0.483</f>
        <v>#DIV/0!</v>
      </c>
    </row>
    <row r="74" spans="1:28" ht="12.75">
      <c r="A74">
        <v>2024</v>
      </c>
      <c r="B74" t="e">
        <f>Benefits!E153*0.483</f>
        <v>#DIV/0!</v>
      </c>
      <c r="G74">
        <v>2024</v>
      </c>
      <c r="H74" t="e">
        <f>Benefits!R153*0.483</f>
        <v>#DIV/0!</v>
      </c>
      <c r="L74">
        <v>2024</v>
      </c>
      <c r="M74" t="e">
        <f>Benefits!AE153*0.483</f>
        <v>#DIV/0!</v>
      </c>
      <c r="Q74">
        <v>2024</v>
      </c>
      <c r="R74" t="e">
        <f>Benefits!AR153*0.483</f>
        <v>#DIV/0!</v>
      </c>
      <c r="V74">
        <v>2024</v>
      </c>
      <c r="W74" t="e">
        <f>Benefits!BE153*0.483</f>
        <v>#DIV/0!</v>
      </c>
      <c r="AA74">
        <v>2024</v>
      </c>
      <c r="AB74" t="e">
        <f>Benefits!BR153*0.483</f>
        <v>#DIV/0!</v>
      </c>
    </row>
    <row r="75" spans="1:28" ht="12.75">
      <c r="A75">
        <v>2025</v>
      </c>
      <c r="B75" t="e">
        <f>Benefits!E154*0.483</f>
        <v>#DIV/0!</v>
      </c>
      <c r="G75">
        <v>2025</v>
      </c>
      <c r="H75" t="e">
        <f>Benefits!R154*0.483</f>
        <v>#DIV/0!</v>
      </c>
      <c r="L75">
        <v>2025</v>
      </c>
      <c r="M75" t="e">
        <f>Benefits!AE154*0.483</f>
        <v>#DIV/0!</v>
      </c>
      <c r="Q75">
        <v>2025</v>
      </c>
      <c r="R75" t="e">
        <f>Benefits!AR154*0.483</f>
        <v>#DIV/0!</v>
      </c>
      <c r="V75">
        <v>2025</v>
      </c>
      <c r="W75" t="e">
        <f>Benefits!BE154*0.483</f>
        <v>#DIV/0!</v>
      </c>
      <c r="AA75">
        <v>2025</v>
      </c>
      <c r="AB75" t="e">
        <f>Benefits!BR154*0.483</f>
        <v>#DIV/0!</v>
      </c>
    </row>
    <row r="76" spans="1:28" ht="12.75">
      <c r="A76">
        <v>2026</v>
      </c>
      <c r="B76" t="e">
        <f>Benefits!E155*0.483</f>
        <v>#DIV/0!</v>
      </c>
      <c r="G76">
        <v>2026</v>
      </c>
      <c r="H76" t="e">
        <f>Benefits!R155*0.483</f>
        <v>#DIV/0!</v>
      </c>
      <c r="L76">
        <v>2026</v>
      </c>
      <c r="M76" t="e">
        <f>Benefits!AE155*0.483</f>
        <v>#DIV/0!</v>
      </c>
      <c r="Q76">
        <v>2026</v>
      </c>
      <c r="R76" t="e">
        <f>Benefits!AR155*0.483</f>
        <v>#DIV/0!</v>
      </c>
      <c r="V76">
        <v>2026</v>
      </c>
      <c r="W76" t="e">
        <f>Benefits!BE155*0.483</f>
        <v>#DIV/0!</v>
      </c>
      <c r="AA76">
        <v>2026</v>
      </c>
      <c r="AB76" t="e">
        <f>Benefits!BR155*0.483</f>
        <v>#DIV/0!</v>
      </c>
    </row>
    <row r="77" spans="1:28" ht="12.75">
      <c r="A77">
        <v>2027</v>
      </c>
      <c r="B77" t="e">
        <f>Benefits!E156*0.483</f>
        <v>#DIV/0!</v>
      </c>
      <c r="G77">
        <v>2027</v>
      </c>
      <c r="H77" t="e">
        <f>Benefits!R156*0.483</f>
        <v>#DIV/0!</v>
      </c>
      <c r="L77">
        <v>2027</v>
      </c>
      <c r="M77" t="e">
        <f>Benefits!AE156*0.483</f>
        <v>#DIV/0!</v>
      </c>
      <c r="Q77">
        <v>2027</v>
      </c>
      <c r="R77" t="e">
        <f>Benefits!AR156*0.483</f>
        <v>#DIV/0!</v>
      </c>
      <c r="V77">
        <v>2027</v>
      </c>
      <c r="W77" t="e">
        <f>Benefits!BE156*0.483</f>
        <v>#DIV/0!</v>
      </c>
      <c r="AA77">
        <v>2027</v>
      </c>
      <c r="AB77" t="e">
        <f>Benefits!BR156*0.483</f>
        <v>#DIV/0!</v>
      </c>
    </row>
    <row r="78" spans="1:28" ht="12.75">
      <c r="A78">
        <v>2028</v>
      </c>
      <c r="B78" t="e">
        <f>Benefits!E157*0.483</f>
        <v>#DIV/0!</v>
      </c>
      <c r="G78">
        <v>2028</v>
      </c>
      <c r="H78" t="e">
        <f>Benefits!R157*0.483</f>
        <v>#DIV/0!</v>
      </c>
      <c r="L78">
        <v>2028</v>
      </c>
      <c r="M78" t="e">
        <f>Benefits!AE157*0.483</f>
        <v>#DIV/0!</v>
      </c>
      <c r="Q78">
        <v>2028</v>
      </c>
      <c r="R78" t="e">
        <f>Benefits!AR157*0.483</f>
        <v>#DIV/0!</v>
      </c>
      <c r="V78">
        <v>2028</v>
      </c>
      <c r="W78" t="e">
        <f>Benefits!BE157*0.483</f>
        <v>#DIV/0!</v>
      </c>
      <c r="AA78">
        <v>2028</v>
      </c>
      <c r="AB78" t="e">
        <f>Benefits!BR157*0.483</f>
        <v>#DIV/0!</v>
      </c>
    </row>
    <row r="80" spans="1:28" ht="12.75">
      <c r="A80" t="s">
        <v>170</v>
      </c>
      <c r="B80" t="e">
        <f>SUM(B59:B78)</f>
        <v>#DIV/0!</v>
      </c>
      <c r="G80" t="s">
        <v>170</v>
      </c>
      <c r="H80" t="e">
        <f>SUM(H59:H78)</f>
        <v>#DIV/0!</v>
      </c>
      <c r="L80" t="s">
        <v>170</v>
      </c>
      <c r="M80" t="e">
        <f>SUM(M59:M78)</f>
        <v>#DIV/0!</v>
      </c>
      <c r="Q80" t="s">
        <v>170</v>
      </c>
      <c r="R80" t="e">
        <f>SUM(R59:R78)</f>
        <v>#DIV/0!</v>
      </c>
      <c r="V80" t="s">
        <v>170</v>
      </c>
      <c r="W80" t="e">
        <f>SUM(W59:W78)</f>
        <v>#DIV/0!</v>
      </c>
      <c r="AA80" t="s">
        <v>170</v>
      </c>
      <c r="AB80" t="e">
        <f>SUM(AB59:AB78)</f>
        <v>#DIV/0!</v>
      </c>
    </row>
    <row r="81" spans="1:29" ht="12.75">
      <c r="A81" t="s">
        <v>174</v>
      </c>
      <c r="B81" s="8" t="e">
        <f>NPV('Summary Sheet'!$B$67,B59:B78)</f>
        <v>#DIV/0!</v>
      </c>
      <c r="C81" s="8" t="e">
        <f>B81+C59</f>
        <v>#DIV/0!</v>
      </c>
      <c r="G81" t="s">
        <v>174</v>
      </c>
      <c r="H81" s="8" t="e">
        <f>NPV('Summary Sheet'!$C$67,H59:H78)</f>
        <v>#DIV/0!</v>
      </c>
      <c r="I81" s="8" t="e">
        <f>H81+I59</f>
        <v>#DIV/0!</v>
      </c>
      <c r="L81" t="s">
        <v>174</v>
      </c>
      <c r="M81" s="8" t="e">
        <f>NPV('Summary Sheet'!$D$67,M59:M78)</f>
        <v>#DIV/0!</v>
      </c>
      <c r="N81" s="8" t="e">
        <f>M81+N59</f>
        <v>#DIV/0!</v>
      </c>
      <c r="Q81" t="s">
        <v>174</v>
      </c>
      <c r="R81" s="8" t="e">
        <f>NPV('Summary Sheet'!$E$67,R59:R78)</f>
        <v>#DIV/0!</v>
      </c>
      <c r="S81" s="8" t="e">
        <f>R81+S59</f>
        <v>#DIV/0!</v>
      </c>
      <c r="V81" t="s">
        <v>174</v>
      </c>
      <c r="W81" s="8" t="e">
        <f>NPV('Summary Sheet'!$F$67,W59:W78)</f>
        <v>#DIV/0!</v>
      </c>
      <c r="X81" s="8" t="e">
        <f>W81+X59</f>
        <v>#DIV/0!</v>
      </c>
      <c r="AA81" t="s">
        <v>174</v>
      </c>
      <c r="AB81" s="8" t="e">
        <f>NPV('Summary Sheet'!$G$67,AB59:AB78)</f>
        <v>#DIV/0!</v>
      </c>
      <c r="AC81" s="8" t="e">
        <f>AB81+AC59</f>
        <v>#DIV/0!</v>
      </c>
    </row>
    <row r="84" spans="1:30" ht="12.75">
      <c r="A84" s="249" t="s">
        <v>214</v>
      </c>
      <c r="B84" s="249"/>
      <c r="C84" s="249"/>
      <c r="D84" s="249"/>
      <c r="E84" s="28"/>
      <c r="F84" s="28"/>
      <c r="G84" s="249" t="s">
        <v>214</v>
      </c>
      <c r="H84" s="249"/>
      <c r="I84" s="249"/>
      <c r="J84" s="249"/>
      <c r="K84" s="28"/>
      <c r="L84" s="249" t="s">
        <v>214</v>
      </c>
      <c r="M84" s="249"/>
      <c r="N84" s="249"/>
      <c r="O84" s="249"/>
      <c r="Q84" s="249" t="s">
        <v>214</v>
      </c>
      <c r="R84" s="249"/>
      <c r="S84" s="249"/>
      <c r="T84" s="249"/>
      <c r="V84" s="249" t="s">
        <v>214</v>
      </c>
      <c r="W84" s="249"/>
      <c r="X84" s="249"/>
      <c r="Y84" s="249"/>
      <c r="AA84" s="249" t="s">
        <v>214</v>
      </c>
      <c r="AB84" s="249"/>
      <c r="AC84" s="249"/>
      <c r="AD84" s="249"/>
    </row>
    <row r="85" spans="1:30" ht="12.75">
      <c r="A85" s="7" t="s">
        <v>159</v>
      </c>
      <c r="B85" t="s">
        <v>215</v>
      </c>
      <c r="C85" t="s">
        <v>145</v>
      </c>
      <c r="D85" t="s">
        <v>216</v>
      </c>
      <c r="G85" s="7" t="s">
        <v>159</v>
      </c>
      <c r="H85" t="s">
        <v>215</v>
      </c>
      <c r="I85" t="s">
        <v>145</v>
      </c>
      <c r="J85" t="s">
        <v>216</v>
      </c>
      <c r="L85" s="7" t="s">
        <v>159</v>
      </c>
      <c r="M85" t="s">
        <v>215</v>
      </c>
      <c r="N85" t="s">
        <v>145</v>
      </c>
      <c r="O85" t="s">
        <v>216</v>
      </c>
      <c r="Q85" s="7" t="s">
        <v>159</v>
      </c>
      <c r="R85" t="s">
        <v>215</v>
      </c>
      <c r="S85" t="s">
        <v>145</v>
      </c>
      <c r="T85" t="s">
        <v>216</v>
      </c>
      <c r="V85" s="7" t="s">
        <v>159</v>
      </c>
      <c r="W85" t="s">
        <v>215</v>
      </c>
      <c r="X85" t="s">
        <v>145</v>
      </c>
      <c r="Y85" t="s">
        <v>216</v>
      </c>
      <c r="AA85" s="7" t="s">
        <v>159</v>
      </c>
      <c r="AB85" t="s">
        <v>215</v>
      </c>
      <c r="AC85" t="s">
        <v>145</v>
      </c>
      <c r="AD85" t="s">
        <v>216</v>
      </c>
    </row>
    <row r="86" spans="1:30" ht="12.75">
      <c r="A86">
        <v>2009</v>
      </c>
      <c r="B86">
        <f>'Summary Sheet'!$B$40*'Summary Sheet'!$B$6</f>
        <v>0</v>
      </c>
      <c r="C86" t="e">
        <f>'Summary Sheet'!$B$44*'Summary Sheet'!$B$6</f>
        <v>#DIV/0!</v>
      </c>
      <c r="D86" t="e">
        <f aca="true" t="shared" si="0" ref="D86:D105">B86+C86</f>
        <v>#DIV/0!</v>
      </c>
      <c r="G86">
        <v>2009</v>
      </c>
      <c r="H86">
        <f>'Summary Sheet'!$C$40*'Summary Sheet'!$C$6</f>
        <v>0</v>
      </c>
      <c r="I86">
        <v>0</v>
      </c>
      <c r="J86">
        <v>0</v>
      </c>
      <c r="L86">
        <v>2009</v>
      </c>
      <c r="M86">
        <f>'Summary Sheet'!$D$40*'Summary Sheet'!$D$6</f>
        <v>0</v>
      </c>
      <c r="N86" t="e">
        <f>'Summary Sheet'!$D$44*'Summary Sheet'!$D$6</f>
        <v>#DIV/0!</v>
      </c>
      <c r="O86" t="e">
        <f aca="true" t="shared" si="1" ref="O86:O105">(M86+N86)</f>
        <v>#DIV/0!</v>
      </c>
      <c r="Q86">
        <v>2009</v>
      </c>
      <c r="R86">
        <f>'Summary Sheet'!$E$40*'Summary Sheet'!$E$6</f>
        <v>0</v>
      </c>
      <c r="S86" t="e">
        <f>'Summary Sheet'!$E$44*'Summary Sheet'!$E$6</f>
        <v>#DIV/0!</v>
      </c>
      <c r="T86" t="e">
        <f aca="true" t="shared" si="2" ref="T86:T105">(R86+S86)</f>
        <v>#DIV/0!</v>
      </c>
      <c r="V86">
        <v>2009</v>
      </c>
      <c r="W86">
        <f>'Summary Sheet'!$F$40*'Summary Sheet'!$F$6</f>
        <v>0</v>
      </c>
      <c r="X86" t="e">
        <f>'Summary Sheet'!$F$44*'Summary Sheet'!$F$6</f>
        <v>#DIV/0!</v>
      </c>
      <c r="Y86" t="e">
        <f aca="true" t="shared" si="3" ref="Y86:Y105">(W86+X86)</f>
        <v>#DIV/0!</v>
      </c>
      <c r="AA86">
        <v>2009</v>
      </c>
      <c r="AB86">
        <f>'Summary Sheet'!$G$40*'Summary Sheet'!$G$6</f>
        <v>0</v>
      </c>
      <c r="AC86" t="e">
        <f>'Summary Sheet'!$G$44*'Summary Sheet'!$G$6</f>
        <v>#DIV/0!</v>
      </c>
      <c r="AD86" t="e">
        <f aca="true" t="shared" si="4" ref="AD86:AD105">(AB86+AC86)</f>
        <v>#DIV/0!</v>
      </c>
    </row>
    <row r="87" spans="1:30" ht="12.75">
      <c r="A87">
        <v>2010</v>
      </c>
      <c r="B87" s="10">
        <v>0</v>
      </c>
      <c r="D87">
        <f t="shared" si="0"/>
        <v>0</v>
      </c>
      <c r="G87">
        <v>2010</v>
      </c>
      <c r="H87" s="10">
        <v>0</v>
      </c>
      <c r="I87" t="e">
        <f>'Summary Sheet'!$C$44*'Summary Sheet'!$C$6</f>
        <v>#DIV/0!</v>
      </c>
      <c r="J87" s="10" t="e">
        <f>(H87+I87)</f>
        <v>#DIV/0!</v>
      </c>
      <c r="L87">
        <v>2010</v>
      </c>
      <c r="M87" s="10">
        <v>0</v>
      </c>
      <c r="O87">
        <f t="shared" si="1"/>
        <v>0</v>
      </c>
      <c r="Q87">
        <v>2010</v>
      </c>
      <c r="R87" s="10">
        <v>0</v>
      </c>
      <c r="T87">
        <f t="shared" si="2"/>
        <v>0</v>
      </c>
      <c r="V87">
        <v>2010</v>
      </c>
      <c r="W87" s="10">
        <v>0</v>
      </c>
      <c r="Y87">
        <f t="shared" si="3"/>
        <v>0</v>
      </c>
      <c r="AA87">
        <v>2010</v>
      </c>
      <c r="AB87" s="10">
        <v>0</v>
      </c>
      <c r="AD87">
        <f t="shared" si="4"/>
        <v>0</v>
      </c>
    </row>
    <row r="88" spans="1:30" ht="12.75">
      <c r="A88">
        <v>2011</v>
      </c>
      <c r="B88" s="10">
        <v>0</v>
      </c>
      <c r="D88">
        <f t="shared" si="0"/>
        <v>0</v>
      </c>
      <c r="G88">
        <v>2011</v>
      </c>
      <c r="H88" s="10">
        <v>0</v>
      </c>
      <c r="J88">
        <f aca="true" t="shared" si="5" ref="J86:J105">(H88+I88)</f>
        <v>0</v>
      </c>
      <c r="L88">
        <v>2011</v>
      </c>
      <c r="M88" s="10">
        <v>0</v>
      </c>
      <c r="O88">
        <f t="shared" si="1"/>
        <v>0</v>
      </c>
      <c r="Q88">
        <v>2011</v>
      </c>
      <c r="R88" s="10">
        <v>0</v>
      </c>
      <c r="T88">
        <f t="shared" si="2"/>
        <v>0</v>
      </c>
      <c r="V88">
        <v>2011</v>
      </c>
      <c r="W88" s="10">
        <v>0</v>
      </c>
      <c r="Y88">
        <f t="shared" si="3"/>
        <v>0</v>
      </c>
      <c r="AA88">
        <v>2011</v>
      </c>
      <c r="AB88" s="10">
        <v>0</v>
      </c>
      <c r="AD88">
        <f t="shared" si="4"/>
        <v>0</v>
      </c>
    </row>
    <row r="89" spans="1:30" ht="12.75">
      <c r="A89">
        <v>2012</v>
      </c>
      <c r="B89" s="10">
        <v>0</v>
      </c>
      <c r="D89">
        <f t="shared" si="0"/>
        <v>0</v>
      </c>
      <c r="G89">
        <v>2012</v>
      </c>
      <c r="H89" s="10">
        <v>0</v>
      </c>
      <c r="J89">
        <f t="shared" si="5"/>
        <v>0</v>
      </c>
      <c r="L89">
        <v>2012</v>
      </c>
      <c r="M89" s="10">
        <v>0</v>
      </c>
      <c r="O89">
        <f t="shared" si="1"/>
        <v>0</v>
      </c>
      <c r="Q89">
        <v>2012</v>
      </c>
      <c r="R89" s="10">
        <v>0</v>
      </c>
      <c r="T89">
        <f t="shared" si="2"/>
        <v>0</v>
      </c>
      <c r="V89">
        <v>2012</v>
      </c>
      <c r="W89" s="10">
        <v>0</v>
      </c>
      <c r="Y89">
        <f t="shared" si="3"/>
        <v>0</v>
      </c>
      <c r="AA89">
        <v>2012</v>
      </c>
      <c r="AB89" s="10">
        <v>0</v>
      </c>
      <c r="AD89">
        <f t="shared" si="4"/>
        <v>0</v>
      </c>
    </row>
    <row r="90" spans="1:30" ht="12.75">
      <c r="A90">
        <v>2013</v>
      </c>
      <c r="B90" s="10">
        <v>0</v>
      </c>
      <c r="D90">
        <f t="shared" si="0"/>
        <v>0</v>
      </c>
      <c r="G90">
        <v>2013</v>
      </c>
      <c r="H90" s="10">
        <v>0</v>
      </c>
      <c r="J90">
        <f t="shared" si="5"/>
        <v>0</v>
      </c>
      <c r="L90">
        <v>2013</v>
      </c>
      <c r="M90" s="10">
        <v>0</v>
      </c>
      <c r="O90">
        <f t="shared" si="1"/>
        <v>0</v>
      </c>
      <c r="Q90">
        <v>2013</v>
      </c>
      <c r="R90" s="10">
        <v>0</v>
      </c>
      <c r="T90">
        <f t="shared" si="2"/>
        <v>0</v>
      </c>
      <c r="V90">
        <v>2013</v>
      </c>
      <c r="W90" s="10">
        <v>0</v>
      </c>
      <c r="Y90">
        <f t="shared" si="3"/>
        <v>0</v>
      </c>
      <c r="AA90">
        <v>2013</v>
      </c>
      <c r="AB90" s="10">
        <v>0</v>
      </c>
      <c r="AD90">
        <f t="shared" si="4"/>
        <v>0</v>
      </c>
    </row>
    <row r="91" spans="1:30" ht="12.75">
      <c r="A91">
        <v>2014</v>
      </c>
      <c r="B91" s="10">
        <v>0</v>
      </c>
      <c r="D91">
        <f t="shared" si="0"/>
        <v>0</v>
      </c>
      <c r="G91">
        <v>2014</v>
      </c>
      <c r="H91" s="10">
        <v>0</v>
      </c>
      <c r="J91">
        <f t="shared" si="5"/>
        <v>0</v>
      </c>
      <c r="L91">
        <v>2014</v>
      </c>
      <c r="M91" s="10">
        <v>0</v>
      </c>
      <c r="O91">
        <f t="shared" si="1"/>
        <v>0</v>
      </c>
      <c r="Q91">
        <v>2014</v>
      </c>
      <c r="R91" s="10">
        <v>0</v>
      </c>
      <c r="T91">
        <f t="shared" si="2"/>
        <v>0</v>
      </c>
      <c r="V91">
        <v>2014</v>
      </c>
      <c r="W91" s="10">
        <v>0</v>
      </c>
      <c r="Y91">
        <f t="shared" si="3"/>
        <v>0</v>
      </c>
      <c r="AA91">
        <v>2014</v>
      </c>
      <c r="AB91" s="10">
        <v>0</v>
      </c>
      <c r="AD91">
        <f t="shared" si="4"/>
        <v>0</v>
      </c>
    </row>
    <row r="92" spans="1:30" ht="12.75">
      <c r="A92">
        <v>2015</v>
      </c>
      <c r="B92" s="10">
        <v>0</v>
      </c>
      <c r="D92">
        <f t="shared" si="0"/>
        <v>0</v>
      </c>
      <c r="G92">
        <v>2015</v>
      </c>
      <c r="H92" s="10">
        <v>0</v>
      </c>
      <c r="J92">
        <f t="shared" si="5"/>
        <v>0</v>
      </c>
      <c r="L92">
        <v>2015</v>
      </c>
      <c r="M92" s="10">
        <v>0</v>
      </c>
      <c r="O92">
        <f t="shared" si="1"/>
        <v>0</v>
      </c>
      <c r="Q92">
        <v>2015</v>
      </c>
      <c r="R92" s="10">
        <v>0</v>
      </c>
      <c r="T92">
        <f t="shared" si="2"/>
        <v>0</v>
      </c>
      <c r="V92">
        <v>2015</v>
      </c>
      <c r="W92" s="10">
        <v>0</v>
      </c>
      <c r="Y92">
        <f t="shared" si="3"/>
        <v>0</v>
      </c>
      <c r="AA92">
        <v>2015</v>
      </c>
      <c r="AB92" s="10">
        <v>0</v>
      </c>
      <c r="AD92">
        <f t="shared" si="4"/>
        <v>0</v>
      </c>
    </row>
    <row r="93" spans="1:30" ht="12.75">
      <c r="A93">
        <v>2016</v>
      </c>
      <c r="B93" s="10">
        <v>0</v>
      </c>
      <c r="D93">
        <f t="shared" si="0"/>
        <v>0</v>
      </c>
      <c r="G93">
        <v>2016</v>
      </c>
      <c r="H93" s="10">
        <v>0</v>
      </c>
      <c r="J93">
        <f t="shared" si="5"/>
        <v>0</v>
      </c>
      <c r="L93">
        <v>2016</v>
      </c>
      <c r="M93" s="10">
        <v>0</v>
      </c>
      <c r="O93">
        <f t="shared" si="1"/>
        <v>0</v>
      </c>
      <c r="Q93">
        <v>2016</v>
      </c>
      <c r="R93" s="10">
        <v>0</v>
      </c>
      <c r="T93">
        <f t="shared" si="2"/>
        <v>0</v>
      </c>
      <c r="V93">
        <v>2016</v>
      </c>
      <c r="W93" s="10">
        <v>0</v>
      </c>
      <c r="Y93">
        <f t="shared" si="3"/>
        <v>0</v>
      </c>
      <c r="AA93">
        <v>2016</v>
      </c>
      <c r="AB93" s="10">
        <v>0</v>
      </c>
      <c r="AD93">
        <f t="shared" si="4"/>
        <v>0</v>
      </c>
    </row>
    <row r="94" spans="1:30" ht="12.75">
      <c r="A94">
        <v>2017</v>
      </c>
      <c r="B94" s="10">
        <v>0</v>
      </c>
      <c r="D94">
        <f t="shared" si="0"/>
        <v>0</v>
      </c>
      <c r="G94">
        <v>2017</v>
      </c>
      <c r="H94" s="10">
        <v>0</v>
      </c>
      <c r="J94">
        <f t="shared" si="5"/>
        <v>0</v>
      </c>
      <c r="L94">
        <v>2017</v>
      </c>
      <c r="M94" s="10">
        <v>0</v>
      </c>
      <c r="O94">
        <f t="shared" si="1"/>
        <v>0</v>
      </c>
      <c r="Q94">
        <v>2017</v>
      </c>
      <c r="R94" s="10">
        <v>0</v>
      </c>
      <c r="T94">
        <f t="shared" si="2"/>
        <v>0</v>
      </c>
      <c r="V94">
        <v>2017</v>
      </c>
      <c r="W94" s="10">
        <v>0</v>
      </c>
      <c r="Y94">
        <f t="shared" si="3"/>
        <v>0</v>
      </c>
      <c r="AA94">
        <v>2017</v>
      </c>
      <c r="AB94" s="10">
        <v>0</v>
      </c>
      <c r="AD94">
        <f t="shared" si="4"/>
        <v>0</v>
      </c>
    </row>
    <row r="95" spans="1:30" ht="12.75">
      <c r="A95">
        <v>2018</v>
      </c>
      <c r="B95" s="10">
        <v>0</v>
      </c>
      <c r="D95">
        <f t="shared" si="0"/>
        <v>0</v>
      </c>
      <c r="G95">
        <v>2018</v>
      </c>
      <c r="H95" s="10">
        <v>0</v>
      </c>
      <c r="J95">
        <f t="shared" si="5"/>
        <v>0</v>
      </c>
      <c r="L95">
        <v>2018</v>
      </c>
      <c r="M95" s="10">
        <v>0</v>
      </c>
      <c r="O95">
        <f t="shared" si="1"/>
        <v>0</v>
      </c>
      <c r="Q95">
        <v>2018</v>
      </c>
      <c r="R95" s="10">
        <v>0</v>
      </c>
      <c r="T95">
        <f t="shared" si="2"/>
        <v>0</v>
      </c>
      <c r="V95">
        <v>2018</v>
      </c>
      <c r="W95" s="10">
        <v>0</v>
      </c>
      <c r="Y95">
        <f t="shared" si="3"/>
        <v>0</v>
      </c>
      <c r="AA95">
        <v>2018</v>
      </c>
      <c r="AB95" s="10">
        <v>0</v>
      </c>
      <c r="AD95">
        <f t="shared" si="4"/>
        <v>0</v>
      </c>
    </row>
    <row r="96" spans="1:30" ht="12.75">
      <c r="A96">
        <v>2019</v>
      </c>
      <c r="B96" s="10">
        <v>0</v>
      </c>
      <c r="D96">
        <f t="shared" si="0"/>
        <v>0</v>
      </c>
      <c r="G96">
        <v>2019</v>
      </c>
      <c r="H96" s="10">
        <v>0</v>
      </c>
      <c r="J96">
        <f t="shared" si="5"/>
        <v>0</v>
      </c>
      <c r="L96">
        <v>2019</v>
      </c>
      <c r="M96" s="10">
        <v>0</v>
      </c>
      <c r="O96">
        <f t="shared" si="1"/>
        <v>0</v>
      </c>
      <c r="Q96">
        <v>2019</v>
      </c>
      <c r="R96" s="10">
        <v>0</v>
      </c>
      <c r="T96">
        <f t="shared" si="2"/>
        <v>0</v>
      </c>
      <c r="V96">
        <v>2019</v>
      </c>
      <c r="W96" s="10">
        <v>0</v>
      </c>
      <c r="Y96">
        <f t="shared" si="3"/>
        <v>0</v>
      </c>
      <c r="AA96">
        <v>2019</v>
      </c>
      <c r="AB96" s="10">
        <v>0</v>
      </c>
      <c r="AD96">
        <f t="shared" si="4"/>
        <v>0</v>
      </c>
    </row>
    <row r="97" spans="1:30" ht="12.75">
      <c r="A97">
        <v>2020</v>
      </c>
      <c r="B97" s="10">
        <v>0</v>
      </c>
      <c r="D97">
        <f t="shared" si="0"/>
        <v>0</v>
      </c>
      <c r="G97">
        <v>2020</v>
      </c>
      <c r="H97" s="10">
        <v>0</v>
      </c>
      <c r="J97">
        <f t="shared" si="5"/>
        <v>0</v>
      </c>
      <c r="L97">
        <v>2020</v>
      </c>
      <c r="M97" s="10">
        <v>0</v>
      </c>
      <c r="O97">
        <f t="shared" si="1"/>
        <v>0</v>
      </c>
      <c r="Q97">
        <v>2020</v>
      </c>
      <c r="R97" s="10">
        <v>0</v>
      </c>
      <c r="T97">
        <f t="shared" si="2"/>
        <v>0</v>
      </c>
      <c r="V97">
        <v>2020</v>
      </c>
      <c r="W97" s="10">
        <v>0</v>
      </c>
      <c r="Y97">
        <f t="shared" si="3"/>
        <v>0</v>
      </c>
      <c r="AA97">
        <v>2020</v>
      </c>
      <c r="AB97" s="10">
        <v>0</v>
      </c>
      <c r="AD97">
        <f t="shared" si="4"/>
        <v>0</v>
      </c>
    </row>
    <row r="98" spans="1:30" ht="12.75">
      <c r="A98">
        <v>2021</v>
      </c>
      <c r="B98" s="10">
        <v>0</v>
      </c>
      <c r="D98">
        <f t="shared" si="0"/>
        <v>0</v>
      </c>
      <c r="G98">
        <v>2021</v>
      </c>
      <c r="H98" s="10">
        <v>0</v>
      </c>
      <c r="J98">
        <f t="shared" si="5"/>
        <v>0</v>
      </c>
      <c r="L98">
        <v>2021</v>
      </c>
      <c r="M98" s="10">
        <v>0</v>
      </c>
      <c r="O98">
        <f t="shared" si="1"/>
        <v>0</v>
      </c>
      <c r="Q98">
        <v>2021</v>
      </c>
      <c r="R98" s="10">
        <v>0</v>
      </c>
      <c r="T98">
        <f t="shared" si="2"/>
        <v>0</v>
      </c>
      <c r="V98">
        <v>2021</v>
      </c>
      <c r="W98" s="10">
        <v>0</v>
      </c>
      <c r="Y98">
        <f t="shared" si="3"/>
        <v>0</v>
      </c>
      <c r="AA98">
        <v>2021</v>
      </c>
      <c r="AB98" s="10">
        <v>0</v>
      </c>
      <c r="AD98">
        <f t="shared" si="4"/>
        <v>0</v>
      </c>
    </row>
    <row r="99" spans="1:30" ht="12.75">
      <c r="A99">
        <v>2022</v>
      </c>
      <c r="B99" s="10">
        <v>0</v>
      </c>
      <c r="D99">
        <f t="shared" si="0"/>
        <v>0</v>
      </c>
      <c r="G99">
        <v>2022</v>
      </c>
      <c r="H99" s="10">
        <v>0</v>
      </c>
      <c r="J99">
        <f t="shared" si="5"/>
        <v>0</v>
      </c>
      <c r="L99">
        <v>2022</v>
      </c>
      <c r="M99" s="10">
        <v>0</v>
      </c>
      <c r="O99">
        <f t="shared" si="1"/>
        <v>0</v>
      </c>
      <c r="Q99">
        <v>2022</v>
      </c>
      <c r="R99" s="10">
        <v>0</v>
      </c>
      <c r="T99">
        <f t="shared" si="2"/>
        <v>0</v>
      </c>
      <c r="V99">
        <v>2022</v>
      </c>
      <c r="W99" s="10">
        <v>0</v>
      </c>
      <c r="Y99">
        <f t="shared" si="3"/>
        <v>0</v>
      </c>
      <c r="AA99">
        <v>2022</v>
      </c>
      <c r="AB99" s="10">
        <v>0</v>
      </c>
      <c r="AD99">
        <f t="shared" si="4"/>
        <v>0</v>
      </c>
    </row>
    <row r="100" spans="1:30" ht="12.75">
      <c r="A100">
        <v>2023</v>
      </c>
      <c r="B100" s="10">
        <v>0</v>
      </c>
      <c r="D100">
        <f t="shared" si="0"/>
        <v>0</v>
      </c>
      <c r="G100">
        <v>2023</v>
      </c>
      <c r="H100" s="10">
        <v>0</v>
      </c>
      <c r="J100">
        <f t="shared" si="5"/>
        <v>0</v>
      </c>
      <c r="L100">
        <v>2023</v>
      </c>
      <c r="M100" s="10">
        <v>0</v>
      </c>
      <c r="O100">
        <f t="shared" si="1"/>
        <v>0</v>
      </c>
      <c r="Q100">
        <v>2023</v>
      </c>
      <c r="R100" s="10">
        <v>0</v>
      </c>
      <c r="T100">
        <f t="shared" si="2"/>
        <v>0</v>
      </c>
      <c r="V100">
        <v>2023</v>
      </c>
      <c r="W100" s="10">
        <v>0</v>
      </c>
      <c r="Y100">
        <f t="shared" si="3"/>
        <v>0</v>
      </c>
      <c r="AA100">
        <v>2023</v>
      </c>
      <c r="AB100" s="10">
        <v>0</v>
      </c>
      <c r="AD100">
        <f t="shared" si="4"/>
        <v>0</v>
      </c>
    </row>
    <row r="101" spans="1:30" ht="12.75">
      <c r="A101">
        <v>2024</v>
      </c>
      <c r="B101" s="10">
        <v>0</v>
      </c>
      <c r="D101">
        <f t="shared" si="0"/>
        <v>0</v>
      </c>
      <c r="G101">
        <v>2024</v>
      </c>
      <c r="H101" s="10">
        <v>0</v>
      </c>
      <c r="J101">
        <f t="shared" si="5"/>
        <v>0</v>
      </c>
      <c r="L101">
        <v>2024</v>
      </c>
      <c r="M101" s="10">
        <v>0</v>
      </c>
      <c r="O101">
        <f t="shared" si="1"/>
        <v>0</v>
      </c>
      <c r="Q101">
        <v>2024</v>
      </c>
      <c r="R101" s="10">
        <v>0</v>
      </c>
      <c r="T101">
        <f t="shared" si="2"/>
        <v>0</v>
      </c>
      <c r="V101">
        <v>2024</v>
      </c>
      <c r="W101" s="10">
        <v>0</v>
      </c>
      <c r="Y101">
        <f t="shared" si="3"/>
        <v>0</v>
      </c>
      <c r="AA101">
        <v>2024</v>
      </c>
      <c r="AB101" s="10">
        <v>0</v>
      </c>
      <c r="AD101">
        <f t="shared" si="4"/>
        <v>0</v>
      </c>
    </row>
    <row r="102" spans="1:30" ht="12.75">
      <c r="A102">
        <v>2025</v>
      </c>
      <c r="B102" s="10">
        <v>0</v>
      </c>
      <c r="D102">
        <f t="shared" si="0"/>
        <v>0</v>
      </c>
      <c r="G102">
        <v>2025</v>
      </c>
      <c r="H102" s="10">
        <v>0</v>
      </c>
      <c r="J102">
        <f t="shared" si="5"/>
        <v>0</v>
      </c>
      <c r="L102">
        <v>2025</v>
      </c>
      <c r="M102" s="10">
        <v>0</v>
      </c>
      <c r="O102">
        <f t="shared" si="1"/>
        <v>0</v>
      </c>
      <c r="Q102">
        <v>2025</v>
      </c>
      <c r="R102" s="10">
        <v>0</v>
      </c>
      <c r="T102">
        <f t="shared" si="2"/>
        <v>0</v>
      </c>
      <c r="V102">
        <v>2025</v>
      </c>
      <c r="W102" s="10">
        <v>0</v>
      </c>
      <c r="Y102">
        <f t="shared" si="3"/>
        <v>0</v>
      </c>
      <c r="AA102">
        <v>2025</v>
      </c>
      <c r="AB102" s="10">
        <v>0</v>
      </c>
      <c r="AD102">
        <f t="shared" si="4"/>
        <v>0</v>
      </c>
    </row>
    <row r="103" spans="1:30" ht="12.75">
      <c r="A103">
        <v>2026</v>
      </c>
      <c r="B103" s="10">
        <v>0</v>
      </c>
      <c r="D103">
        <f t="shared" si="0"/>
        <v>0</v>
      </c>
      <c r="G103">
        <v>2026</v>
      </c>
      <c r="H103" s="10">
        <v>0</v>
      </c>
      <c r="J103">
        <f t="shared" si="5"/>
        <v>0</v>
      </c>
      <c r="L103">
        <v>2026</v>
      </c>
      <c r="M103" s="10">
        <v>0</v>
      </c>
      <c r="O103">
        <f t="shared" si="1"/>
        <v>0</v>
      </c>
      <c r="Q103">
        <v>2026</v>
      </c>
      <c r="R103" s="10">
        <v>0</v>
      </c>
      <c r="T103">
        <f t="shared" si="2"/>
        <v>0</v>
      </c>
      <c r="V103">
        <v>2026</v>
      </c>
      <c r="W103" s="10">
        <v>0</v>
      </c>
      <c r="Y103">
        <f t="shared" si="3"/>
        <v>0</v>
      </c>
      <c r="AA103">
        <v>2026</v>
      </c>
      <c r="AB103" s="10">
        <v>0</v>
      </c>
      <c r="AD103">
        <f t="shared" si="4"/>
        <v>0</v>
      </c>
    </row>
    <row r="104" spans="1:30" ht="12.75">
      <c r="A104">
        <v>2027</v>
      </c>
      <c r="B104" s="10">
        <v>0</v>
      </c>
      <c r="D104">
        <f t="shared" si="0"/>
        <v>0</v>
      </c>
      <c r="G104">
        <v>2027</v>
      </c>
      <c r="H104" s="10">
        <v>0</v>
      </c>
      <c r="J104">
        <f t="shared" si="5"/>
        <v>0</v>
      </c>
      <c r="L104">
        <v>2027</v>
      </c>
      <c r="M104" s="10">
        <v>0</v>
      </c>
      <c r="O104">
        <f t="shared" si="1"/>
        <v>0</v>
      </c>
      <c r="Q104">
        <v>2027</v>
      </c>
      <c r="R104" s="10">
        <v>0</v>
      </c>
      <c r="T104">
        <f t="shared" si="2"/>
        <v>0</v>
      </c>
      <c r="V104">
        <v>2027</v>
      </c>
      <c r="W104" s="10">
        <v>0</v>
      </c>
      <c r="Y104">
        <f t="shared" si="3"/>
        <v>0</v>
      </c>
      <c r="AA104">
        <v>2027</v>
      </c>
      <c r="AB104" s="10">
        <v>0</v>
      </c>
      <c r="AD104">
        <f t="shared" si="4"/>
        <v>0</v>
      </c>
    </row>
    <row r="105" spans="1:30" ht="12.75">
      <c r="A105">
        <v>2028</v>
      </c>
      <c r="B105" s="10">
        <v>0</v>
      </c>
      <c r="D105">
        <f t="shared" si="0"/>
        <v>0</v>
      </c>
      <c r="G105">
        <v>2028</v>
      </c>
      <c r="H105" s="10">
        <v>0</v>
      </c>
      <c r="J105">
        <f t="shared" si="5"/>
        <v>0</v>
      </c>
      <c r="L105">
        <v>2028</v>
      </c>
      <c r="M105" s="10">
        <v>0</v>
      </c>
      <c r="O105">
        <f t="shared" si="1"/>
        <v>0</v>
      </c>
      <c r="Q105">
        <v>2028</v>
      </c>
      <c r="R105" s="10">
        <v>0</v>
      </c>
      <c r="T105">
        <f t="shared" si="2"/>
        <v>0</v>
      </c>
      <c r="V105">
        <v>2028</v>
      </c>
      <c r="W105" s="10">
        <v>0</v>
      </c>
      <c r="Y105">
        <f t="shared" si="3"/>
        <v>0</v>
      </c>
      <c r="AA105">
        <v>2028</v>
      </c>
      <c r="AB105" s="10">
        <v>0</v>
      </c>
      <c r="AD105">
        <f t="shared" si="4"/>
        <v>0</v>
      </c>
    </row>
    <row r="107" spans="1:30" ht="12.75">
      <c r="A107" t="s">
        <v>170</v>
      </c>
      <c r="B107">
        <f>SUM(B86:B105)</f>
        <v>0</v>
      </c>
      <c r="C107" t="e">
        <f>SUM(C86:C105)</f>
        <v>#DIV/0!</v>
      </c>
      <c r="D107" t="e">
        <f>SUM(D86:D105)</f>
        <v>#DIV/0!</v>
      </c>
      <c r="G107" t="s">
        <v>170</v>
      </c>
      <c r="H107">
        <f>SUM(H86:H105)</f>
        <v>0</v>
      </c>
      <c r="I107" t="e">
        <f>SUM(I86:I105)</f>
        <v>#DIV/0!</v>
      </c>
      <c r="J107" t="e">
        <f>SUM(J86:J105)</f>
        <v>#DIV/0!</v>
      </c>
      <c r="L107" t="s">
        <v>170</v>
      </c>
      <c r="M107">
        <f>SUM(M86:M105)</f>
        <v>0</v>
      </c>
      <c r="N107" t="e">
        <f>SUM(N86:N105)</f>
        <v>#DIV/0!</v>
      </c>
      <c r="O107" t="e">
        <f>SUM(O86:O105)</f>
        <v>#DIV/0!</v>
      </c>
      <c r="Q107" t="s">
        <v>170</v>
      </c>
      <c r="R107">
        <f>SUM(R86:R105)</f>
        <v>0</v>
      </c>
      <c r="S107" t="e">
        <f>SUM(S86:S105)</f>
        <v>#DIV/0!</v>
      </c>
      <c r="T107" t="e">
        <f>SUM(T86:T105)</f>
        <v>#DIV/0!</v>
      </c>
      <c r="V107" t="s">
        <v>170</v>
      </c>
      <c r="W107">
        <f>SUM(W86:W105)</f>
        <v>0</v>
      </c>
      <c r="X107" t="e">
        <f>SUM(X86:X105)</f>
        <v>#DIV/0!</v>
      </c>
      <c r="Y107" t="e">
        <f>SUM(Y86:Y105)</f>
        <v>#DIV/0!</v>
      </c>
      <c r="AA107" t="s">
        <v>170</v>
      </c>
      <c r="AB107">
        <f>SUM(AB86:AB105)</f>
        <v>0</v>
      </c>
      <c r="AC107" t="e">
        <f>SUM(AC86:AC105)</f>
        <v>#DIV/0!</v>
      </c>
      <c r="AD107" t="e">
        <f>SUM(AD86:AD105)</f>
        <v>#DIV/0!</v>
      </c>
    </row>
    <row r="108" spans="1:30" ht="12.75">
      <c r="A108" t="s">
        <v>171</v>
      </c>
      <c r="B108" s="8">
        <f>NPV('Summary Sheet'!$B$67,B86:B105)</f>
        <v>0</v>
      </c>
      <c r="C108" s="8" t="e">
        <f>NPV('Summary Sheet'!$B$67,C86:C105)</f>
        <v>#DIV/0!</v>
      </c>
      <c r="D108" s="8" t="e">
        <f>NPV('Summary Sheet'!$B$67,D86:D105)</f>
        <v>#DIV/0!</v>
      </c>
      <c r="E108" s="8"/>
      <c r="F108" s="8"/>
      <c r="G108" t="s">
        <v>171</v>
      </c>
      <c r="H108" s="8">
        <f>NPV('Summary Sheet'!$C$67,H86:H105)</f>
        <v>0</v>
      </c>
      <c r="I108" s="8" t="e">
        <f>NPV('Summary Sheet'!$C$67,I86:I105)</f>
        <v>#DIV/0!</v>
      </c>
      <c r="J108" s="8" t="e">
        <f>NPV('Summary Sheet'!$C$67,J86:J105)</f>
        <v>#DIV/0!</v>
      </c>
      <c r="K108" s="8"/>
      <c r="L108" t="s">
        <v>171</v>
      </c>
      <c r="M108" s="8">
        <f>NPV('Summary Sheet'!$D$67,M86:M105)</f>
        <v>0</v>
      </c>
      <c r="N108" s="8" t="e">
        <f>NPV('Summary Sheet'!$D$67,N86:N105)</f>
        <v>#DIV/0!</v>
      </c>
      <c r="O108" s="8" t="e">
        <f>NPV('Summary Sheet'!$D$67,O86:O105)</f>
        <v>#DIV/0!</v>
      </c>
      <c r="Q108" t="s">
        <v>171</v>
      </c>
      <c r="R108" s="8">
        <f>NPV('Summary Sheet'!$E$67,R86:R105)</f>
        <v>0</v>
      </c>
      <c r="S108" s="8" t="e">
        <f>NPV('Summary Sheet'!$E$67,S86:S105)</f>
        <v>#DIV/0!</v>
      </c>
      <c r="T108" s="8" t="e">
        <f>NPV('Summary Sheet'!$E$67,T86:T105)</f>
        <v>#DIV/0!</v>
      </c>
      <c r="V108" t="s">
        <v>171</v>
      </c>
      <c r="W108" s="8">
        <f>NPV('Summary Sheet'!$F$67,W86:W105)</f>
        <v>0</v>
      </c>
      <c r="X108" s="8" t="e">
        <f>NPV('Summary Sheet'!$F$67,X86:X105)</f>
        <v>#DIV/0!</v>
      </c>
      <c r="Y108" s="8" t="e">
        <f>NPV('Summary Sheet'!$F$67,Y86:Y105)</f>
        <v>#DIV/0!</v>
      </c>
      <c r="AA108" t="s">
        <v>171</v>
      </c>
      <c r="AB108" s="8">
        <f>NPV('Summary Sheet'!$G$67,AB86:AB105)</f>
        <v>0</v>
      </c>
      <c r="AC108" s="8" t="e">
        <f>NPV('Summary Sheet'!$G$67,AC86:AC105)</f>
        <v>#DIV/0!</v>
      </c>
      <c r="AD108" s="8" t="e">
        <f>NPV('Summary Sheet'!$G$67,AD86:AD105)</f>
        <v>#DIV/0!</v>
      </c>
    </row>
  </sheetData>
  <sheetProtection/>
  <mergeCells count="30">
    <mergeCell ref="V84:Y84"/>
    <mergeCell ref="AA84:AD84"/>
    <mergeCell ref="A84:D84"/>
    <mergeCell ref="G84:J84"/>
    <mergeCell ref="L84:O84"/>
    <mergeCell ref="Q84:T84"/>
    <mergeCell ref="G1:I1"/>
    <mergeCell ref="G3:I3"/>
    <mergeCell ref="G30:I30"/>
    <mergeCell ref="G57:I57"/>
    <mergeCell ref="A3:C3"/>
    <mergeCell ref="A30:C30"/>
    <mergeCell ref="A57:C57"/>
    <mergeCell ref="A1:C1"/>
    <mergeCell ref="Q1:S1"/>
    <mergeCell ref="Q3:S3"/>
    <mergeCell ref="Q30:S30"/>
    <mergeCell ref="Q57:S57"/>
    <mergeCell ref="L1:N1"/>
    <mergeCell ref="L3:N3"/>
    <mergeCell ref="L30:N30"/>
    <mergeCell ref="L57:N57"/>
    <mergeCell ref="AA1:AC1"/>
    <mergeCell ref="AA3:AC3"/>
    <mergeCell ref="AA30:AC30"/>
    <mergeCell ref="AA57:AC57"/>
    <mergeCell ref="V1:X1"/>
    <mergeCell ref="V3:X3"/>
    <mergeCell ref="V30:X30"/>
    <mergeCell ref="V57:X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E96"/>
  <sheetViews>
    <sheetView zoomScalePageLayoutView="0" workbookViewId="0" topLeftCell="A61">
      <selection activeCell="A36" sqref="A36"/>
    </sheetView>
  </sheetViews>
  <sheetFormatPr defaultColWidth="9.140625" defaultRowHeight="12.75"/>
  <cols>
    <col min="1" max="1" width="16.7109375" style="0" customWidth="1"/>
    <col min="3" max="3" width="11.7109375" style="0" bestFit="1" customWidth="1"/>
    <col min="8" max="8" width="10.28125" style="0" bestFit="1" customWidth="1"/>
    <col min="9" max="9" width="16.7109375" style="0" customWidth="1"/>
    <col min="11" max="11" width="11.7109375" style="0" bestFit="1" customWidth="1"/>
    <col min="17" max="17" width="16.7109375" style="0" customWidth="1"/>
    <col min="19" max="19" width="11.7109375" style="0" bestFit="1" customWidth="1"/>
    <col min="26" max="26" width="16.7109375" style="0" customWidth="1"/>
    <col min="28" max="28" width="11.7109375" style="0" bestFit="1" customWidth="1"/>
  </cols>
  <sheetData>
    <row r="1" spans="1:26" ht="12.75">
      <c r="A1" s="187" t="s">
        <v>771</v>
      </c>
      <c r="I1" s="187" t="s">
        <v>771</v>
      </c>
      <c r="Q1" s="187" t="s">
        <v>771</v>
      </c>
      <c r="Z1" s="187" t="s">
        <v>771</v>
      </c>
    </row>
    <row r="2" spans="1:29" ht="18">
      <c r="A2" s="172" t="s">
        <v>757</v>
      </c>
      <c r="D2" t="s">
        <v>758</v>
      </c>
      <c r="I2" s="172" t="s">
        <v>757</v>
      </c>
      <c r="L2" t="s">
        <v>758</v>
      </c>
      <c r="Q2" s="172" t="s">
        <v>757</v>
      </c>
      <c r="T2" t="s">
        <v>758</v>
      </c>
      <c r="Z2" s="172" t="s">
        <v>757</v>
      </c>
      <c r="AC2" t="s">
        <v>758</v>
      </c>
    </row>
    <row r="4" spans="1:31" ht="38.25">
      <c r="A4" s="7" t="s">
        <v>159</v>
      </c>
      <c r="B4" s="7" t="s">
        <v>160</v>
      </c>
      <c r="C4" s="7" t="s">
        <v>177</v>
      </c>
      <c r="D4" s="7" t="s">
        <v>178</v>
      </c>
      <c r="E4" s="7" t="s">
        <v>179</v>
      </c>
      <c r="F4" s="7" t="s">
        <v>180</v>
      </c>
      <c r="I4" s="7" t="s">
        <v>159</v>
      </c>
      <c r="J4" s="7" t="s">
        <v>160</v>
      </c>
      <c r="K4" s="7" t="s">
        <v>177</v>
      </c>
      <c r="L4" s="7" t="s">
        <v>178</v>
      </c>
      <c r="M4" s="7" t="s">
        <v>179</v>
      </c>
      <c r="N4" s="7" t="s">
        <v>180</v>
      </c>
      <c r="Q4" s="7" t="s">
        <v>159</v>
      </c>
      <c r="R4" s="7" t="s">
        <v>160</v>
      </c>
      <c r="S4" s="7" t="s">
        <v>177</v>
      </c>
      <c r="T4" s="7" t="s">
        <v>178</v>
      </c>
      <c r="U4" s="7" t="s">
        <v>179</v>
      </c>
      <c r="V4" s="7" t="s">
        <v>180</v>
      </c>
      <c r="Z4" s="7" t="s">
        <v>159</v>
      </c>
      <c r="AA4" s="7" t="s">
        <v>160</v>
      </c>
      <c r="AB4" s="7" t="s">
        <v>177</v>
      </c>
      <c r="AC4" s="7" t="s">
        <v>178</v>
      </c>
      <c r="AD4" s="7" t="s">
        <v>179</v>
      </c>
      <c r="AE4" s="7" t="s">
        <v>180</v>
      </c>
    </row>
    <row r="5" spans="1:31" ht="12.75">
      <c r="A5">
        <v>2009</v>
      </c>
      <c r="B5" s="180">
        <v>57.62184</v>
      </c>
      <c r="C5" s="180">
        <v>75.41107700674922</v>
      </c>
      <c r="D5" s="180">
        <v>61.97998777982112</v>
      </c>
      <c r="E5" s="180">
        <v>69.66024648855233</v>
      </c>
      <c r="F5" s="180">
        <v>51.92934471661052</v>
      </c>
      <c r="I5">
        <v>2009</v>
      </c>
      <c r="J5" s="180">
        <v>57.62184</v>
      </c>
      <c r="K5" s="180">
        <v>75.41107700674922</v>
      </c>
      <c r="L5" s="180">
        <v>61.97998777982112</v>
      </c>
      <c r="M5" s="180">
        <v>69.66024648855233</v>
      </c>
      <c r="N5" s="180">
        <v>51.92934471661052</v>
      </c>
      <c r="Q5">
        <v>2009</v>
      </c>
      <c r="R5" s="180">
        <v>57.62184</v>
      </c>
      <c r="S5" s="180">
        <v>75.41107700674922</v>
      </c>
      <c r="T5" s="180">
        <v>61.97998777982112</v>
      </c>
      <c r="U5" s="180">
        <v>69.66024648855233</v>
      </c>
      <c r="V5" s="180">
        <v>51.92934471661052</v>
      </c>
      <c r="Z5">
        <v>2009</v>
      </c>
      <c r="AA5" s="180">
        <v>57.62184</v>
      </c>
      <c r="AB5" s="180">
        <v>75.41107700674922</v>
      </c>
      <c r="AC5" s="180">
        <v>61.97998777982112</v>
      </c>
      <c r="AD5" s="180">
        <v>69.66024648855233</v>
      </c>
      <c r="AE5" s="180">
        <v>51.92934471661052</v>
      </c>
    </row>
    <row r="6" spans="1:31" ht="12.75">
      <c r="A6">
        <v>2010</v>
      </c>
      <c r="B6" s="179">
        <v>58.44</v>
      </c>
      <c r="C6" s="180">
        <v>76.84834262913272</v>
      </c>
      <c r="D6" s="180">
        <v>63.25986043472776</v>
      </c>
      <c r="E6" s="180">
        <v>70.84124004143358</v>
      </c>
      <c r="F6" s="180">
        <v>52.562885117839926</v>
      </c>
      <c r="I6">
        <v>2010</v>
      </c>
      <c r="J6" s="179">
        <v>58.44</v>
      </c>
      <c r="K6" s="180">
        <v>76.84834262913272</v>
      </c>
      <c r="L6" s="180">
        <v>63.25986043472776</v>
      </c>
      <c r="M6" s="180">
        <v>70.84124004143358</v>
      </c>
      <c r="N6" s="180">
        <v>52.562885117839926</v>
      </c>
      <c r="Q6">
        <v>2010</v>
      </c>
      <c r="R6" s="179">
        <v>58.44</v>
      </c>
      <c r="S6" s="180">
        <v>76.84834262913272</v>
      </c>
      <c r="T6" s="180">
        <v>63.25986043472776</v>
      </c>
      <c r="U6" s="180">
        <v>70.84124004143358</v>
      </c>
      <c r="V6" s="180">
        <v>52.562885117839926</v>
      </c>
      <c r="Z6">
        <v>2010</v>
      </c>
      <c r="AA6" s="179">
        <v>58.44</v>
      </c>
      <c r="AB6" s="180">
        <v>76.84834262913272</v>
      </c>
      <c r="AC6" s="180">
        <v>63.25986043472776</v>
      </c>
      <c r="AD6" s="180">
        <v>70.84124004143358</v>
      </c>
      <c r="AE6" s="180">
        <v>52.562885117839926</v>
      </c>
    </row>
    <row r="7" spans="1:31" ht="12.75">
      <c r="A7">
        <v>2011</v>
      </c>
      <c r="B7" s="180">
        <v>60.668278828045935</v>
      </c>
      <c r="C7" s="180">
        <v>80.12916830265912</v>
      </c>
      <c r="D7" s="180">
        <v>66.05530028444265</v>
      </c>
      <c r="E7" s="180">
        <v>73.7239360707755</v>
      </c>
      <c r="F7" s="180">
        <v>54.465048139982116</v>
      </c>
      <c r="I7">
        <v>2011</v>
      </c>
      <c r="J7" s="180">
        <v>60.668278828045935</v>
      </c>
      <c r="K7" s="180">
        <v>80.12916830265912</v>
      </c>
      <c r="L7" s="180">
        <v>66.05530028444265</v>
      </c>
      <c r="M7" s="180">
        <v>73.7239360707755</v>
      </c>
      <c r="N7" s="180">
        <v>54.465048139982116</v>
      </c>
      <c r="Q7">
        <v>2011</v>
      </c>
      <c r="R7" s="180">
        <v>60.668278828045935</v>
      </c>
      <c r="S7" s="180">
        <v>80.12916830265912</v>
      </c>
      <c r="T7" s="180">
        <v>66.05530028444265</v>
      </c>
      <c r="U7" s="180">
        <v>73.7239360707755</v>
      </c>
      <c r="V7" s="180">
        <v>54.465048139982116</v>
      </c>
      <c r="Z7">
        <v>2011</v>
      </c>
      <c r="AA7" s="180">
        <v>60.668278828045935</v>
      </c>
      <c r="AB7" s="180">
        <v>80.12916830265912</v>
      </c>
      <c r="AC7" s="180">
        <v>66.05530028444265</v>
      </c>
      <c r="AD7" s="180">
        <v>73.7239360707755</v>
      </c>
      <c r="AE7" s="180">
        <v>54.465048139982116</v>
      </c>
    </row>
    <row r="8" spans="1:31" ht="12.75">
      <c r="A8">
        <v>2012</v>
      </c>
      <c r="B8" s="180">
        <v>63.28014115247418</v>
      </c>
      <c r="C8" s="180">
        <v>83.91698986371415</v>
      </c>
      <c r="D8" s="180">
        <v>69.26955582665701</v>
      </c>
      <c r="E8" s="180">
        <v>77.07113975563719</v>
      </c>
      <c r="F8" s="180">
        <v>56.709050892434576</v>
      </c>
      <c r="I8">
        <v>2012</v>
      </c>
      <c r="J8" s="180">
        <v>63.28014115247418</v>
      </c>
      <c r="K8" s="180">
        <v>83.91698986371415</v>
      </c>
      <c r="L8" s="180">
        <v>69.26955582665701</v>
      </c>
      <c r="M8" s="180">
        <v>77.07113975563719</v>
      </c>
      <c r="N8" s="180">
        <v>56.709050892434576</v>
      </c>
      <c r="Q8">
        <v>2012</v>
      </c>
      <c r="R8" s="180">
        <v>63.28014115247418</v>
      </c>
      <c r="S8" s="180">
        <v>83.91698986371415</v>
      </c>
      <c r="T8" s="180">
        <v>69.26955582665701</v>
      </c>
      <c r="U8" s="180">
        <v>77.07113975563719</v>
      </c>
      <c r="V8" s="180">
        <v>56.709050892434576</v>
      </c>
      <c r="Z8">
        <v>2012</v>
      </c>
      <c r="AA8" s="180">
        <v>63.28014115247418</v>
      </c>
      <c r="AB8" s="180">
        <v>83.91698986371415</v>
      </c>
      <c r="AC8" s="180">
        <v>69.26955582665701</v>
      </c>
      <c r="AD8" s="180">
        <v>77.07113975563719</v>
      </c>
      <c r="AE8" s="180">
        <v>56.709050892434576</v>
      </c>
    </row>
    <row r="9" spans="1:31" ht="12.75">
      <c r="A9">
        <v>2013</v>
      </c>
      <c r="B9" s="180">
        <v>66.05206395595728</v>
      </c>
      <c r="C9" s="180">
        <v>87.92016693952684</v>
      </c>
      <c r="D9" s="180">
        <v>72.66310327555654</v>
      </c>
      <c r="E9" s="180">
        <v>80.61324190520914</v>
      </c>
      <c r="F9" s="180">
        <v>59.09341461185456</v>
      </c>
      <c r="I9">
        <v>2013</v>
      </c>
      <c r="J9" s="180">
        <v>66.05206395595728</v>
      </c>
      <c r="K9" s="180">
        <v>87.92016693952684</v>
      </c>
      <c r="L9" s="180">
        <v>72.66310327555654</v>
      </c>
      <c r="M9" s="180">
        <v>80.61324190520914</v>
      </c>
      <c r="N9" s="180">
        <v>59.09341461185456</v>
      </c>
      <c r="Q9">
        <v>2013</v>
      </c>
      <c r="R9" s="180">
        <v>66.05206395595728</v>
      </c>
      <c r="S9" s="180">
        <v>87.92016693952684</v>
      </c>
      <c r="T9" s="180">
        <v>72.66310327555654</v>
      </c>
      <c r="U9" s="180">
        <v>80.61324190520914</v>
      </c>
      <c r="V9" s="180">
        <v>59.09341461185456</v>
      </c>
      <c r="Z9">
        <v>2013</v>
      </c>
      <c r="AA9" s="180">
        <v>66.05206395595728</v>
      </c>
      <c r="AB9" s="180">
        <v>87.92016693952684</v>
      </c>
      <c r="AC9" s="180">
        <v>72.66310327555654</v>
      </c>
      <c r="AD9" s="180">
        <v>80.61324190520914</v>
      </c>
      <c r="AE9" s="180">
        <v>59.09341461185456</v>
      </c>
    </row>
    <row r="10" spans="1:31" ht="12.75">
      <c r="A10">
        <v>2014</v>
      </c>
      <c r="B10" s="180">
        <v>69.03614657929994</v>
      </c>
      <c r="C10" s="180">
        <v>92.21025739435018</v>
      </c>
      <c r="D10" s="180">
        <v>76.29562146700145</v>
      </c>
      <c r="E10" s="180">
        <v>84.41508643216976</v>
      </c>
      <c r="F10" s="180">
        <v>61.66427455138489</v>
      </c>
      <c r="I10">
        <v>2014</v>
      </c>
      <c r="J10" s="180">
        <v>69.03614657929994</v>
      </c>
      <c r="K10" s="180">
        <v>92.21025739435018</v>
      </c>
      <c r="L10" s="180">
        <v>76.29562146700145</v>
      </c>
      <c r="M10" s="180">
        <v>84.41508643216976</v>
      </c>
      <c r="N10" s="180">
        <v>61.66427455138489</v>
      </c>
      <c r="Q10">
        <v>2014</v>
      </c>
      <c r="R10" s="180">
        <v>69.03614657929994</v>
      </c>
      <c r="S10" s="180">
        <v>92.21025739435018</v>
      </c>
      <c r="T10" s="180">
        <v>76.29562146700145</v>
      </c>
      <c r="U10" s="180">
        <v>84.41508643216976</v>
      </c>
      <c r="V10" s="180">
        <v>61.66427455138489</v>
      </c>
      <c r="Z10">
        <v>2014</v>
      </c>
      <c r="AA10" s="180">
        <v>69.03614657929994</v>
      </c>
      <c r="AB10" s="180">
        <v>92.21025739435018</v>
      </c>
      <c r="AC10" s="180">
        <v>76.29562146700145</v>
      </c>
      <c r="AD10" s="180">
        <v>84.41508643216976</v>
      </c>
      <c r="AE10" s="180">
        <v>61.66427455138489</v>
      </c>
    </row>
    <row r="11" spans="1:31" ht="12.75">
      <c r="A11">
        <v>2015</v>
      </c>
      <c r="B11" s="179">
        <v>71.94660105697673</v>
      </c>
      <c r="C11" s="180">
        <v>92.99488403661313</v>
      </c>
      <c r="D11" s="180">
        <v>78.79285051139584</v>
      </c>
      <c r="E11" s="180">
        <v>88.92209690470618</v>
      </c>
      <c r="F11" s="180">
        <v>65.05618880869723</v>
      </c>
      <c r="I11">
        <v>2015</v>
      </c>
      <c r="J11" s="179">
        <v>71.94660105697673</v>
      </c>
      <c r="K11" s="180">
        <v>92.99488403661313</v>
      </c>
      <c r="L11" s="180">
        <v>78.79285051139584</v>
      </c>
      <c r="M11" s="180">
        <v>88.92209690470618</v>
      </c>
      <c r="N11" s="180">
        <v>65.05618880869723</v>
      </c>
      <c r="Q11">
        <v>2015</v>
      </c>
      <c r="R11" s="179">
        <v>71.94660105697673</v>
      </c>
      <c r="S11" s="180">
        <v>92.99488403661313</v>
      </c>
      <c r="T11" s="180">
        <v>78.79285051139584</v>
      </c>
      <c r="U11" s="180">
        <v>88.92209690470618</v>
      </c>
      <c r="V11" s="180">
        <v>65.05618880869723</v>
      </c>
      <c r="Z11">
        <v>2015</v>
      </c>
      <c r="AA11" s="179">
        <v>71.94660105697673</v>
      </c>
      <c r="AB11" s="180">
        <v>92.99488403661313</v>
      </c>
      <c r="AC11" s="180">
        <v>78.79285051139584</v>
      </c>
      <c r="AD11" s="180">
        <v>88.92209690470618</v>
      </c>
      <c r="AE11" s="180">
        <v>65.05618880869723</v>
      </c>
    </row>
    <row r="12" spans="1:31" ht="12.75">
      <c r="A12">
        <v>2016</v>
      </c>
      <c r="B12" s="180">
        <v>74.69405249890711</v>
      </c>
      <c r="C12" s="180">
        <v>97.92832555292688</v>
      </c>
      <c r="D12" s="180">
        <v>82.99418356486201</v>
      </c>
      <c r="E12" s="180">
        <v>92.30247628233852</v>
      </c>
      <c r="F12" s="180">
        <v>67.31486336721797</v>
      </c>
      <c r="I12">
        <v>2016</v>
      </c>
      <c r="J12" s="180">
        <v>74.69405249890711</v>
      </c>
      <c r="K12" s="180">
        <v>97.92832555292688</v>
      </c>
      <c r="L12" s="180">
        <v>82.99418356486201</v>
      </c>
      <c r="M12" s="180">
        <v>92.30247628233852</v>
      </c>
      <c r="N12" s="180">
        <v>67.31486336721797</v>
      </c>
      <c r="Q12">
        <v>2016</v>
      </c>
      <c r="R12" s="180">
        <v>74.69405249890711</v>
      </c>
      <c r="S12" s="180">
        <v>97.92832555292688</v>
      </c>
      <c r="T12" s="180">
        <v>82.99418356486201</v>
      </c>
      <c r="U12" s="180">
        <v>92.30247628233852</v>
      </c>
      <c r="V12" s="180">
        <v>67.31486336721797</v>
      </c>
      <c r="Z12">
        <v>2016</v>
      </c>
      <c r="AA12" s="180">
        <v>74.69405249890711</v>
      </c>
      <c r="AB12" s="180">
        <v>97.92832555292688</v>
      </c>
      <c r="AC12" s="180">
        <v>82.99418356486201</v>
      </c>
      <c r="AD12" s="180">
        <v>92.30247628233852</v>
      </c>
      <c r="AE12" s="180">
        <v>67.31486336721797</v>
      </c>
    </row>
    <row r="13" spans="1:31" ht="12.75">
      <c r="A13">
        <v>2017</v>
      </c>
      <c r="B13" s="180">
        <v>77.55979788587842</v>
      </c>
      <c r="C13" s="180">
        <v>103.02981332033735</v>
      </c>
      <c r="D13" s="180">
        <v>87.33869948267457</v>
      </c>
      <c r="E13" s="180">
        <v>95.79268039031086</v>
      </c>
      <c r="F13" s="180">
        <v>69.65176701234704</v>
      </c>
      <c r="I13">
        <v>2017</v>
      </c>
      <c r="J13" s="180">
        <v>77.55979788587842</v>
      </c>
      <c r="K13" s="180">
        <v>103.02981332033735</v>
      </c>
      <c r="L13" s="180">
        <v>87.33869948267457</v>
      </c>
      <c r="M13" s="180">
        <v>95.79268039031086</v>
      </c>
      <c r="N13" s="180">
        <v>69.65176701234704</v>
      </c>
      <c r="Q13">
        <v>2017</v>
      </c>
      <c r="R13" s="180">
        <v>77.55979788587842</v>
      </c>
      <c r="S13" s="180">
        <v>103.02981332033735</v>
      </c>
      <c r="T13" s="180">
        <v>87.33869948267457</v>
      </c>
      <c r="U13" s="180">
        <v>95.79268039031086</v>
      </c>
      <c r="V13" s="180">
        <v>69.65176701234704</v>
      </c>
      <c r="Z13">
        <v>2017</v>
      </c>
      <c r="AA13" s="180">
        <v>77.55979788587842</v>
      </c>
      <c r="AB13" s="180">
        <v>103.02981332033735</v>
      </c>
      <c r="AC13" s="180">
        <v>87.33869948267457</v>
      </c>
      <c r="AD13" s="180">
        <v>95.79268039031086</v>
      </c>
      <c r="AE13" s="180">
        <v>69.65176701234704</v>
      </c>
    </row>
    <row r="14" spans="1:31" ht="12.75">
      <c r="A14">
        <v>2018</v>
      </c>
      <c r="B14" s="180">
        <v>80.70447772745008</v>
      </c>
      <c r="C14" s="180">
        <v>108.52012327726533</v>
      </c>
      <c r="D14" s="180">
        <v>92.01362227910253</v>
      </c>
      <c r="E14" s="180">
        <v>99.59351216536949</v>
      </c>
      <c r="F14" s="180">
        <v>72.21197210735802</v>
      </c>
      <c r="I14">
        <v>2018</v>
      </c>
      <c r="J14" s="180">
        <v>80.70447772745008</v>
      </c>
      <c r="K14" s="180">
        <v>108.52012327726533</v>
      </c>
      <c r="L14" s="180">
        <v>92.01362227910253</v>
      </c>
      <c r="M14" s="180">
        <v>99.59351216536949</v>
      </c>
      <c r="N14" s="180">
        <v>72.21197210735802</v>
      </c>
      <c r="Q14">
        <v>2018</v>
      </c>
      <c r="R14" s="180">
        <v>80.70447772745008</v>
      </c>
      <c r="S14" s="180">
        <v>108.52012327726533</v>
      </c>
      <c r="T14" s="180">
        <v>92.01362227910253</v>
      </c>
      <c r="U14" s="180">
        <v>99.59351216536949</v>
      </c>
      <c r="V14" s="180">
        <v>72.21197210735802</v>
      </c>
      <c r="Z14">
        <v>2018</v>
      </c>
      <c r="AA14" s="180">
        <v>80.70447772745008</v>
      </c>
      <c r="AB14" s="180">
        <v>108.52012327726533</v>
      </c>
      <c r="AC14" s="180">
        <v>92.01362227910253</v>
      </c>
      <c r="AD14" s="180">
        <v>99.59351216536949</v>
      </c>
      <c r="AE14" s="180">
        <v>72.21197210735802</v>
      </c>
    </row>
    <row r="15" spans="1:31" ht="12.75">
      <c r="A15">
        <v>2019</v>
      </c>
      <c r="B15" s="180">
        <v>83.7925509906266</v>
      </c>
      <c r="C15" s="180">
        <v>113.95450697567365</v>
      </c>
      <c r="D15" s="180">
        <v>96.64191713215203</v>
      </c>
      <c r="E15" s="180">
        <v>103.29274955186754</v>
      </c>
      <c r="F15" s="180">
        <v>74.69576383570367</v>
      </c>
      <c r="I15">
        <v>2019</v>
      </c>
      <c r="J15" s="180">
        <v>83.7925509906266</v>
      </c>
      <c r="K15" s="180">
        <v>113.95450697567365</v>
      </c>
      <c r="L15" s="180">
        <v>96.64191713215203</v>
      </c>
      <c r="M15" s="180">
        <v>103.29274955186754</v>
      </c>
      <c r="N15" s="180">
        <v>74.69576383570367</v>
      </c>
      <c r="Q15">
        <v>2019</v>
      </c>
      <c r="R15" s="180">
        <v>83.7925509906266</v>
      </c>
      <c r="S15" s="180">
        <v>113.95450697567365</v>
      </c>
      <c r="T15" s="180">
        <v>96.64191713215203</v>
      </c>
      <c r="U15" s="180">
        <v>103.29274955186754</v>
      </c>
      <c r="V15" s="180">
        <v>74.69576383570367</v>
      </c>
      <c r="Z15">
        <v>2019</v>
      </c>
      <c r="AA15" s="180">
        <v>83.7925509906266</v>
      </c>
      <c r="AB15" s="180">
        <v>113.95450697567365</v>
      </c>
      <c r="AC15" s="180">
        <v>96.64191713215203</v>
      </c>
      <c r="AD15" s="180">
        <v>103.29274955186754</v>
      </c>
      <c r="AE15" s="180">
        <v>74.69576383570367</v>
      </c>
    </row>
    <row r="16" spans="1:31" ht="12.75">
      <c r="A16">
        <v>2020</v>
      </c>
      <c r="B16" s="179">
        <v>87.00028815475157</v>
      </c>
      <c r="C16" s="180">
        <v>119.21765393457325</v>
      </c>
      <c r="D16" s="180">
        <v>104.58408712806742</v>
      </c>
      <c r="E16" s="180">
        <v>108.51779743063926</v>
      </c>
      <c r="F16" s="180">
        <v>77.57073809967918</v>
      </c>
      <c r="I16">
        <v>2020</v>
      </c>
      <c r="J16" s="179">
        <v>87.00028815475157</v>
      </c>
      <c r="K16" s="180">
        <v>119.21765393457325</v>
      </c>
      <c r="L16" s="180">
        <v>104.58408712806742</v>
      </c>
      <c r="M16" s="180">
        <v>108.51779743063926</v>
      </c>
      <c r="N16" s="180">
        <v>77.57073809967918</v>
      </c>
      <c r="Q16">
        <v>2020</v>
      </c>
      <c r="R16" s="179">
        <v>87.00028815475157</v>
      </c>
      <c r="S16" s="180">
        <v>119.21765393457325</v>
      </c>
      <c r="T16" s="180">
        <v>104.58408712806742</v>
      </c>
      <c r="U16" s="180">
        <v>108.51779743063926</v>
      </c>
      <c r="V16" s="180">
        <v>77.57073809967918</v>
      </c>
      <c r="Z16">
        <v>2020</v>
      </c>
      <c r="AA16" s="179">
        <v>87.00028815475157</v>
      </c>
      <c r="AB16" s="180">
        <v>119.21765393457325</v>
      </c>
      <c r="AC16" s="180">
        <v>104.58408712806742</v>
      </c>
      <c r="AD16" s="180">
        <v>108.51779743063926</v>
      </c>
      <c r="AE16" s="180">
        <v>77.57073809967918</v>
      </c>
    </row>
    <row r="17" spans="1:31" ht="12.75">
      <c r="A17">
        <v>2021</v>
      </c>
      <c r="B17" s="68">
        <v>90.33238125102444</v>
      </c>
      <c r="C17" s="68">
        <v>123.78366549677223</v>
      </c>
      <c r="D17" s="68">
        <v>108.58963609911872</v>
      </c>
      <c r="E17" s="68">
        <v>112.67400669512111</v>
      </c>
      <c r="F17" s="68">
        <v>80.54168137328043</v>
      </c>
      <c r="I17">
        <v>2021</v>
      </c>
      <c r="J17" s="68">
        <v>90.33238125102444</v>
      </c>
      <c r="K17" s="68">
        <v>123.78366549677223</v>
      </c>
      <c r="L17" s="68">
        <v>108.58963609911872</v>
      </c>
      <c r="M17" s="68">
        <v>112.67400669512111</v>
      </c>
      <c r="N17" s="68">
        <v>80.54168137328043</v>
      </c>
      <c r="Q17">
        <v>2021</v>
      </c>
      <c r="R17" s="68">
        <v>90.33238125102444</v>
      </c>
      <c r="S17" s="68">
        <v>123.78366549677223</v>
      </c>
      <c r="T17" s="68">
        <v>108.58963609911872</v>
      </c>
      <c r="U17" s="68">
        <v>112.67400669512111</v>
      </c>
      <c r="V17" s="68">
        <v>80.54168137328043</v>
      </c>
      <c r="Z17">
        <v>2021</v>
      </c>
      <c r="AA17" s="68">
        <v>90.33238125102444</v>
      </c>
      <c r="AB17" s="68">
        <v>123.78366549677223</v>
      </c>
      <c r="AC17" s="68">
        <v>108.58963609911872</v>
      </c>
      <c r="AD17" s="68">
        <v>112.67400669512111</v>
      </c>
      <c r="AE17" s="68">
        <v>80.54168137328043</v>
      </c>
    </row>
    <row r="18" spans="1:31" ht="12.75">
      <c r="A18">
        <v>2022</v>
      </c>
      <c r="B18" s="68">
        <v>93.79370827093601</v>
      </c>
      <c r="C18" s="68">
        <v>128.52676802627423</v>
      </c>
      <c r="D18" s="68">
        <v>112.75053871573142</v>
      </c>
      <c r="E18" s="68">
        <v>116.99141290554462</v>
      </c>
      <c r="F18" s="68">
        <v>83.62785151631849</v>
      </c>
      <c r="I18">
        <v>2022</v>
      </c>
      <c r="J18" s="68">
        <v>93.79370827093601</v>
      </c>
      <c r="K18" s="68">
        <v>128.52676802627423</v>
      </c>
      <c r="L18" s="68">
        <v>112.75053871573142</v>
      </c>
      <c r="M18" s="68">
        <v>116.99141290554462</v>
      </c>
      <c r="N18" s="68">
        <v>83.62785151631849</v>
      </c>
      <c r="Q18">
        <v>2022</v>
      </c>
      <c r="R18" s="68">
        <v>93.79370827093601</v>
      </c>
      <c r="S18" s="68">
        <v>128.52676802627423</v>
      </c>
      <c r="T18" s="68">
        <v>112.75053871573142</v>
      </c>
      <c r="U18" s="68">
        <v>116.99141290554462</v>
      </c>
      <c r="V18" s="68">
        <v>83.62785151631849</v>
      </c>
      <c r="Z18">
        <v>2022</v>
      </c>
      <c r="AA18" s="68">
        <v>93.79370827093601</v>
      </c>
      <c r="AB18" s="68">
        <v>128.52676802627423</v>
      </c>
      <c r="AC18" s="68">
        <v>112.75053871573142</v>
      </c>
      <c r="AD18" s="68">
        <v>116.99141290554462</v>
      </c>
      <c r="AE18" s="68">
        <v>83.62785151631849</v>
      </c>
    </row>
    <row r="19" spans="1:31" ht="12.75">
      <c r="A19">
        <v>2023</v>
      </c>
      <c r="B19" s="68">
        <v>97.38934060712533</v>
      </c>
      <c r="C19" s="68">
        <v>133.45391091997703</v>
      </c>
      <c r="D19" s="68">
        <v>117.07289135966326</v>
      </c>
      <c r="E19" s="68">
        <v>121.47634174623536</v>
      </c>
      <c r="F19" s="68">
        <v>86.83377025715252</v>
      </c>
      <c r="I19">
        <v>2023</v>
      </c>
      <c r="J19" s="68">
        <v>97.38934060712533</v>
      </c>
      <c r="K19" s="68">
        <v>133.45391091997703</v>
      </c>
      <c r="L19" s="68">
        <v>117.07289135966326</v>
      </c>
      <c r="M19" s="68">
        <v>121.47634174623536</v>
      </c>
      <c r="N19" s="68">
        <v>86.83377025715252</v>
      </c>
      <c r="Q19">
        <v>2023</v>
      </c>
      <c r="R19" s="68">
        <v>97.38934060712533</v>
      </c>
      <c r="S19" s="68">
        <v>133.45391091997703</v>
      </c>
      <c r="T19" s="68">
        <v>117.07289135966326</v>
      </c>
      <c r="U19" s="68">
        <v>121.47634174623536</v>
      </c>
      <c r="V19" s="68">
        <v>86.83377025715252</v>
      </c>
      <c r="Z19">
        <v>2023</v>
      </c>
      <c r="AA19" s="68">
        <v>97.38934060712533</v>
      </c>
      <c r="AB19" s="68">
        <v>133.45391091997703</v>
      </c>
      <c r="AC19" s="68">
        <v>117.07289135966326</v>
      </c>
      <c r="AD19" s="68">
        <v>121.47634174623536</v>
      </c>
      <c r="AE19" s="68">
        <v>86.83377025715252</v>
      </c>
    </row>
    <row r="20" spans="1:31" ht="12.75">
      <c r="A20">
        <v>2024</v>
      </c>
      <c r="B20" s="68">
        <v>101.12455079445051</v>
      </c>
      <c r="C20" s="68">
        <v>138.57231920264093</v>
      </c>
      <c r="D20" s="68">
        <v>121.5630322081396</v>
      </c>
      <c r="E20" s="68">
        <v>126.13536979161405</v>
      </c>
      <c r="F20" s="68">
        <v>90.16413866550626</v>
      </c>
      <c r="I20">
        <v>2024</v>
      </c>
      <c r="J20" s="68">
        <v>101.12455079445051</v>
      </c>
      <c r="K20" s="68">
        <v>138.57231920264093</v>
      </c>
      <c r="L20" s="68">
        <v>121.5630322081396</v>
      </c>
      <c r="M20" s="68">
        <v>126.13536979161405</v>
      </c>
      <c r="N20" s="68">
        <v>90.16413866550626</v>
      </c>
      <c r="Q20">
        <v>2024</v>
      </c>
      <c r="R20" s="68">
        <v>101.12455079445051</v>
      </c>
      <c r="S20" s="68">
        <v>138.57231920264093</v>
      </c>
      <c r="T20" s="68">
        <v>121.5630322081396</v>
      </c>
      <c r="U20" s="68">
        <v>126.13536979161405</v>
      </c>
      <c r="V20" s="68">
        <v>90.16413866550626</v>
      </c>
      <c r="Z20">
        <v>2024</v>
      </c>
      <c r="AA20" s="68">
        <v>101.12455079445051</v>
      </c>
      <c r="AB20" s="68">
        <v>138.57231920264093</v>
      </c>
      <c r="AC20" s="68">
        <v>121.5630322081396</v>
      </c>
      <c r="AD20" s="68">
        <v>126.13536979161405</v>
      </c>
      <c r="AE20" s="68">
        <v>90.16413866550626</v>
      </c>
    </row>
    <row r="21" spans="1:31" ht="12.75">
      <c r="A21">
        <v>2025</v>
      </c>
      <c r="B21" s="68">
        <v>105.0048205634728</v>
      </c>
      <c r="C21" s="68">
        <v>143.8895045626853</v>
      </c>
      <c r="D21" s="68">
        <v>126.2275509150431</v>
      </c>
      <c r="E21" s="68">
        <v>130.97533455152384</v>
      </c>
      <c r="F21" s="68">
        <v>93.62384433307297</v>
      </c>
      <c r="I21">
        <v>2025</v>
      </c>
      <c r="J21" s="68">
        <v>105.0048205634728</v>
      </c>
      <c r="K21" s="68">
        <v>143.8895045626853</v>
      </c>
      <c r="L21" s="68">
        <v>126.2275509150431</v>
      </c>
      <c r="M21" s="68">
        <v>130.97533455152384</v>
      </c>
      <c r="N21" s="68">
        <v>93.62384433307297</v>
      </c>
      <c r="Q21">
        <v>2025</v>
      </c>
      <c r="R21" s="68">
        <v>105.0048205634728</v>
      </c>
      <c r="S21" s="68">
        <v>143.8895045626853</v>
      </c>
      <c r="T21" s="68">
        <v>126.2275509150431</v>
      </c>
      <c r="U21" s="68">
        <v>130.97533455152384</v>
      </c>
      <c r="V21" s="68">
        <v>93.62384433307297</v>
      </c>
      <c r="Z21">
        <v>2025</v>
      </c>
      <c r="AA21" s="68">
        <v>105.0048205634728</v>
      </c>
      <c r="AB21" s="68">
        <v>143.8895045626853</v>
      </c>
      <c r="AC21" s="68">
        <v>126.2275509150431</v>
      </c>
      <c r="AD21" s="68">
        <v>130.97533455152384</v>
      </c>
      <c r="AE21" s="68">
        <v>93.62384433307297</v>
      </c>
    </row>
    <row r="22" spans="1:31" ht="12.75">
      <c r="A22">
        <v>2026</v>
      </c>
      <c r="B22" s="68">
        <v>109.03584921905106</v>
      </c>
      <c r="C22" s="68">
        <v>149.41327683348817</v>
      </c>
      <c r="D22" s="68">
        <v>131.07329868292226</v>
      </c>
      <c r="E22" s="68">
        <v>136.00334492207625</v>
      </c>
      <c r="F22" s="68">
        <v>97.21796884399369</v>
      </c>
      <c r="I22">
        <v>2026</v>
      </c>
      <c r="J22" s="68">
        <v>109.03584921905106</v>
      </c>
      <c r="K22" s="68">
        <v>149.41327683348817</v>
      </c>
      <c r="L22" s="68">
        <v>131.07329868292226</v>
      </c>
      <c r="M22" s="68">
        <v>136.00334492207625</v>
      </c>
      <c r="N22" s="68">
        <v>97.21796884399369</v>
      </c>
      <c r="Q22">
        <v>2026</v>
      </c>
      <c r="R22" s="68">
        <v>109.03584921905106</v>
      </c>
      <c r="S22" s="68">
        <v>149.41327683348817</v>
      </c>
      <c r="T22" s="68">
        <v>131.07329868292226</v>
      </c>
      <c r="U22" s="68">
        <v>136.00334492207625</v>
      </c>
      <c r="V22" s="68">
        <v>97.21796884399369</v>
      </c>
      <c r="Z22">
        <v>2026</v>
      </c>
      <c r="AA22" s="68">
        <v>109.03584921905106</v>
      </c>
      <c r="AB22" s="68">
        <v>149.41327683348817</v>
      </c>
      <c r="AC22" s="68">
        <v>131.07329868292226</v>
      </c>
      <c r="AD22" s="68">
        <v>136.00334492207625</v>
      </c>
      <c r="AE22" s="68">
        <v>97.21796884399369</v>
      </c>
    </row>
    <row r="23" spans="1:31" ht="12.75">
      <c r="A23">
        <v>2027</v>
      </c>
      <c r="B23" s="68">
        <v>113.22356235726326</v>
      </c>
      <c r="C23" s="68">
        <v>155.15175593829997</v>
      </c>
      <c r="D23" s="68">
        <v>136.10739874170716</v>
      </c>
      <c r="E23" s="68">
        <v>141.22679205850184</v>
      </c>
      <c r="F23" s="68">
        <v>100.95179554699298</v>
      </c>
      <c r="I23">
        <v>2027</v>
      </c>
      <c r="J23" s="68">
        <v>113.22356235726326</v>
      </c>
      <c r="K23" s="68">
        <v>155.15175593829997</v>
      </c>
      <c r="L23" s="68">
        <v>136.10739874170716</v>
      </c>
      <c r="M23" s="68">
        <v>141.22679205850184</v>
      </c>
      <c r="N23" s="68">
        <v>100.95179554699298</v>
      </c>
      <c r="Q23">
        <v>2027</v>
      </c>
      <c r="R23" s="68">
        <v>113.22356235726326</v>
      </c>
      <c r="S23" s="68">
        <v>155.15175593829997</v>
      </c>
      <c r="T23" s="68">
        <v>136.10739874170716</v>
      </c>
      <c r="U23" s="68">
        <v>141.22679205850184</v>
      </c>
      <c r="V23" s="68">
        <v>100.95179554699298</v>
      </c>
      <c r="Z23">
        <v>2027</v>
      </c>
      <c r="AA23" s="68">
        <v>113.22356235726326</v>
      </c>
      <c r="AB23" s="68">
        <v>155.15175593829997</v>
      </c>
      <c r="AC23" s="68">
        <v>136.10739874170716</v>
      </c>
      <c r="AD23" s="68">
        <v>141.22679205850184</v>
      </c>
      <c r="AE23" s="68">
        <v>100.95179554699298</v>
      </c>
    </row>
    <row r="24" spans="1:31" ht="12.75">
      <c r="A24">
        <v>2028</v>
      </c>
      <c r="B24" s="68">
        <v>117.57412093441248</v>
      </c>
      <c r="C24" s="68">
        <v>161.11338431762317</v>
      </c>
      <c r="D24" s="68">
        <v>141.33725725066984</v>
      </c>
      <c r="E24" s="68">
        <v>146.65336068716474</v>
      </c>
      <c r="F24" s="68">
        <v>104.83081764143786</v>
      </c>
      <c r="I24">
        <v>2028</v>
      </c>
      <c r="J24" s="68">
        <v>117.57412093441248</v>
      </c>
      <c r="K24" s="68">
        <v>161.11338431762317</v>
      </c>
      <c r="L24" s="68">
        <v>141.33725725066984</v>
      </c>
      <c r="M24" s="68">
        <v>146.65336068716474</v>
      </c>
      <c r="N24" s="68">
        <v>104.83081764143786</v>
      </c>
      <c r="Q24">
        <v>2028</v>
      </c>
      <c r="R24" s="68">
        <v>117.57412093441248</v>
      </c>
      <c r="S24" s="68">
        <v>161.11338431762317</v>
      </c>
      <c r="T24" s="68">
        <v>141.33725725066984</v>
      </c>
      <c r="U24" s="68">
        <v>146.65336068716474</v>
      </c>
      <c r="V24" s="68">
        <v>104.83081764143786</v>
      </c>
      <c r="Z24">
        <v>2028</v>
      </c>
      <c r="AA24" s="68">
        <v>117.57412093441248</v>
      </c>
      <c r="AB24" s="68">
        <v>161.11338431762317</v>
      </c>
      <c r="AC24" s="68">
        <v>141.33725725066984</v>
      </c>
      <c r="AD24" s="68">
        <v>146.65336068716474</v>
      </c>
      <c r="AE24" s="68">
        <v>104.83081764143786</v>
      </c>
    </row>
    <row r="27" spans="1:29" ht="18">
      <c r="A27" s="172" t="s">
        <v>762</v>
      </c>
      <c r="D27" t="s">
        <v>761</v>
      </c>
      <c r="I27" s="172" t="s">
        <v>762</v>
      </c>
      <c r="L27" t="s">
        <v>761</v>
      </c>
      <c r="Q27" s="172" t="s">
        <v>762</v>
      </c>
      <c r="T27" t="s">
        <v>761</v>
      </c>
      <c r="Z27" s="172" t="s">
        <v>762</v>
      </c>
      <c r="AC27" t="s">
        <v>761</v>
      </c>
    </row>
    <row r="28" spans="1:29" ht="18">
      <c r="A28" s="172"/>
      <c r="D28" t="s">
        <v>765</v>
      </c>
      <c r="I28" s="172"/>
      <c r="L28" t="s">
        <v>765</v>
      </c>
      <c r="Q28" s="172"/>
      <c r="T28" t="s">
        <v>765</v>
      </c>
      <c r="Z28" s="172"/>
      <c r="AC28" t="s">
        <v>765</v>
      </c>
    </row>
    <row r="29" spans="1:28" ht="38.25">
      <c r="A29" t="s">
        <v>159</v>
      </c>
      <c r="B29" s="7" t="s">
        <v>731</v>
      </c>
      <c r="C29" t="s">
        <v>161</v>
      </c>
      <c r="I29" t="s">
        <v>159</v>
      </c>
      <c r="J29" s="7" t="s">
        <v>731</v>
      </c>
      <c r="K29" t="s">
        <v>161</v>
      </c>
      <c r="Q29" t="s">
        <v>159</v>
      </c>
      <c r="R29" s="7" t="s">
        <v>731</v>
      </c>
      <c r="S29" t="s">
        <v>161</v>
      </c>
      <c r="Z29" t="s">
        <v>159</v>
      </c>
      <c r="AA29" s="7" t="s">
        <v>731</v>
      </c>
      <c r="AB29" t="s">
        <v>161</v>
      </c>
    </row>
    <row r="30" spans="2:28" ht="12.75">
      <c r="B30" s="182" t="s">
        <v>766</v>
      </c>
      <c r="C30" s="183" t="s">
        <v>767</v>
      </c>
      <c r="J30" s="182" t="s">
        <v>766</v>
      </c>
      <c r="K30" s="183" t="s">
        <v>767</v>
      </c>
      <c r="R30" s="182" t="s">
        <v>766</v>
      </c>
      <c r="S30" s="183" t="s">
        <v>767</v>
      </c>
      <c r="AA30" s="182" t="s">
        <v>766</v>
      </c>
      <c r="AB30" s="183" t="s">
        <v>767</v>
      </c>
    </row>
    <row r="31" spans="1:29" ht="12.75">
      <c r="A31">
        <v>2009</v>
      </c>
      <c r="B31" s="181">
        <f>C31/100</f>
        <v>0.15355715</v>
      </c>
      <c r="C31" s="188">
        <v>15.355715</v>
      </c>
      <c r="D31" s="184"/>
      <c r="I31">
        <v>2009</v>
      </c>
      <c r="J31" s="181">
        <f>K31/100</f>
        <v>0.15355715</v>
      </c>
      <c r="K31" s="188">
        <v>15.355715</v>
      </c>
      <c r="L31" s="184"/>
      <c r="Q31">
        <v>2009</v>
      </c>
      <c r="R31" s="181">
        <f>S31/100</f>
        <v>0.15355715</v>
      </c>
      <c r="S31" s="188">
        <v>15.355715</v>
      </c>
      <c r="T31" s="184"/>
      <c r="Z31">
        <v>2009</v>
      </c>
      <c r="AA31" s="181">
        <f>AB31/100</f>
        <v>0.15355715</v>
      </c>
      <c r="AB31" s="188">
        <v>15.355715</v>
      </c>
      <c r="AC31" s="184"/>
    </row>
    <row r="32" spans="1:29" ht="12.75">
      <c r="A32">
        <v>2010</v>
      </c>
      <c r="B32" s="181">
        <f aca="true" t="shared" si="0" ref="B32:B44">C32/100</f>
        <v>0.1583844</v>
      </c>
      <c r="C32" s="188">
        <v>15.83844</v>
      </c>
      <c r="D32" s="184"/>
      <c r="I32">
        <v>2010</v>
      </c>
      <c r="J32" s="181">
        <f aca="true" t="shared" si="1" ref="J32:J44">K32/100</f>
        <v>0.1583844</v>
      </c>
      <c r="K32" s="188">
        <v>15.83844</v>
      </c>
      <c r="L32" s="184"/>
      <c r="Q32">
        <v>2010</v>
      </c>
      <c r="R32" s="181">
        <f aca="true" t="shared" si="2" ref="R32:R44">S32/100</f>
        <v>0.1583844</v>
      </c>
      <c r="S32" s="188">
        <v>15.83844</v>
      </c>
      <c r="T32" s="184"/>
      <c r="Z32">
        <v>2010</v>
      </c>
      <c r="AA32" s="181">
        <f aca="true" t="shared" si="3" ref="AA32:AA44">AB32/100</f>
        <v>0.1583844</v>
      </c>
      <c r="AB32" s="188">
        <v>15.83844</v>
      </c>
      <c r="AC32" s="184"/>
    </row>
    <row r="33" spans="1:29" ht="12.75">
      <c r="A33">
        <v>2011</v>
      </c>
      <c r="B33" s="181">
        <f t="shared" si="0"/>
        <v>0.166129525</v>
      </c>
      <c r="C33" s="188">
        <v>16.6129525</v>
      </c>
      <c r="D33" s="184"/>
      <c r="I33">
        <v>2011</v>
      </c>
      <c r="J33" s="181">
        <f t="shared" si="1"/>
        <v>0.166129525</v>
      </c>
      <c r="K33" s="188">
        <v>16.6129525</v>
      </c>
      <c r="L33" s="184"/>
      <c r="Q33">
        <v>2011</v>
      </c>
      <c r="R33" s="181">
        <f t="shared" si="2"/>
        <v>0.166129525</v>
      </c>
      <c r="S33" s="188">
        <v>16.6129525</v>
      </c>
      <c r="T33" s="184"/>
      <c r="Z33">
        <v>2011</v>
      </c>
      <c r="AA33" s="181">
        <f t="shared" si="3"/>
        <v>0.166129525</v>
      </c>
      <c r="AB33" s="188">
        <v>16.6129525</v>
      </c>
      <c r="AC33" s="184"/>
    </row>
    <row r="34" spans="1:29" ht="12.75">
      <c r="A34">
        <v>2012</v>
      </c>
      <c r="B34" s="181">
        <f t="shared" si="0"/>
        <v>0.175497725</v>
      </c>
      <c r="C34" s="188">
        <v>17.5497725</v>
      </c>
      <c r="D34" s="184"/>
      <c r="I34">
        <v>2012</v>
      </c>
      <c r="J34" s="181">
        <f t="shared" si="1"/>
        <v>0.175497725</v>
      </c>
      <c r="K34" s="188">
        <v>17.5497725</v>
      </c>
      <c r="L34" s="184"/>
      <c r="Q34">
        <v>2012</v>
      </c>
      <c r="R34" s="181">
        <f t="shared" si="2"/>
        <v>0.175497725</v>
      </c>
      <c r="S34" s="188">
        <v>17.5497725</v>
      </c>
      <c r="T34" s="184"/>
      <c r="Z34">
        <v>2012</v>
      </c>
      <c r="AA34" s="181">
        <f t="shared" si="3"/>
        <v>0.175497725</v>
      </c>
      <c r="AB34" s="188">
        <v>17.5497725</v>
      </c>
      <c r="AC34" s="184"/>
    </row>
    <row r="35" spans="1:29" ht="12.75">
      <c r="A35">
        <v>2013</v>
      </c>
      <c r="B35" s="181">
        <f t="shared" si="0"/>
        <v>0.18563022499999998</v>
      </c>
      <c r="C35" s="188">
        <v>18.5630225</v>
      </c>
      <c r="D35" s="184"/>
      <c r="I35">
        <v>2013</v>
      </c>
      <c r="J35" s="181">
        <f t="shared" si="1"/>
        <v>0.18563022499999998</v>
      </c>
      <c r="K35" s="188">
        <v>18.5630225</v>
      </c>
      <c r="L35" s="184"/>
      <c r="Q35">
        <v>2013</v>
      </c>
      <c r="R35" s="181">
        <f t="shared" si="2"/>
        <v>0.18563022499999998</v>
      </c>
      <c r="S35" s="188">
        <v>18.5630225</v>
      </c>
      <c r="T35" s="184"/>
      <c r="Z35">
        <v>2013</v>
      </c>
      <c r="AA35" s="181">
        <f t="shared" si="3"/>
        <v>0.18563022499999998</v>
      </c>
      <c r="AB35" s="188">
        <v>18.5630225</v>
      </c>
      <c r="AC35" s="184"/>
    </row>
    <row r="36" spans="1:29" ht="12.75">
      <c r="A36">
        <v>2014</v>
      </c>
      <c r="B36" s="181">
        <f t="shared" si="0"/>
        <v>0.1966196</v>
      </c>
      <c r="C36" s="188">
        <v>19.66196</v>
      </c>
      <c r="D36" s="184"/>
      <c r="I36">
        <v>2014</v>
      </c>
      <c r="J36" s="181">
        <f t="shared" si="1"/>
        <v>0.1966196</v>
      </c>
      <c r="K36" s="188">
        <v>19.66196</v>
      </c>
      <c r="L36" s="184"/>
      <c r="Q36">
        <v>2014</v>
      </c>
      <c r="R36" s="181">
        <f t="shared" si="2"/>
        <v>0.1966196</v>
      </c>
      <c r="S36" s="188">
        <v>19.66196</v>
      </c>
      <c r="T36" s="184"/>
      <c r="Z36">
        <v>2014</v>
      </c>
      <c r="AA36" s="181">
        <f t="shared" si="3"/>
        <v>0.1966196</v>
      </c>
      <c r="AB36" s="188">
        <v>19.66196</v>
      </c>
      <c r="AC36" s="184"/>
    </row>
    <row r="37" spans="1:29" ht="12.75">
      <c r="A37">
        <v>2015</v>
      </c>
      <c r="B37" s="181">
        <f t="shared" si="0"/>
        <v>0.20702030000000002</v>
      </c>
      <c r="C37" s="188">
        <v>20.70203</v>
      </c>
      <c r="D37" s="184"/>
      <c r="I37">
        <v>2015</v>
      </c>
      <c r="J37" s="181">
        <f t="shared" si="1"/>
        <v>0.20702030000000002</v>
      </c>
      <c r="K37" s="188">
        <v>20.70203</v>
      </c>
      <c r="L37" s="184"/>
      <c r="Q37">
        <v>2015</v>
      </c>
      <c r="R37" s="181">
        <f t="shared" si="2"/>
        <v>0.20702030000000002</v>
      </c>
      <c r="S37" s="188">
        <v>20.70203</v>
      </c>
      <c r="T37" s="184"/>
      <c r="Z37">
        <v>2015</v>
      </c>
      <c r="AA37" s="181">
        <f t="shared" si="3"/>
        <v>0.20702030000000002</v>
      </c>
      <c r="AB37" s="188">
        <v>20.70203</v>
      </c>
      <c r="AC37" s="184"/>
    </row>
    <row r="38" spans="1:29" ht="12.75">
      <c r="A38">
        <v>2016</v>
      </c>
      <c r="B38" s="181">
        <f t="shared" si="0"/>
        <v>0.216850475</v>
      </c>
      <c r="C38" s="188">
        <v>21.6850475</v>
      </c>
      <c r="D38" s="184"/>
      <c r="I38">
        <v>2016</v>
      </c>
      <c r="J38" s="181">
        <f t="shared" si="1"/>
        <v>0.216850475</v>
      </c>
      <c r="K38" s="188">
        <v>21.6850475</v>
      </c>
      <c r="L38" s="184"/>
      <c r="Q38">
        <v>2016</v>
      </c>
      <c r="R38" s="181">
        <f t="shared" si="2"/>
        <v>0.216850475</v>
      </c>
      <c r="S38" s="188">
        <v>21.6850475</v>
      </c>
      <c r="T38" s="184"/>
      <c r="Z38">
        <v>2016</v>
      </c>
      <c r="AA38" s="181">
        <f t="shared" si="3"/>
        <v>0.216850475</v>
      </c>
      <c r="AB38" s="188">
        <v>21.6850475</v>
      </c>
      <c r="AC38" s="184"/>
    </row>
    <row r="39" spans="1:29" ht="12.75">
      <c r="A39">
        <v>2017</v>
      </c>
      <c r="B39" s="181">
        <f t="shared" si="0"/>
        <v>0.227349825</v>
      </c>
      <c r="C39" s="188">
        <v>22.7349825</v>
      </c>
      <c r="D39" s="184"/>
      <c r="I39">
        <v>2017</v>
      </c>
      <c r="J39" s="181">
        <f t="shared" si="1"/>
        <v>0.227349825</v>
      </c>
      <c r="K39" s="188">
        <v>22.7349825</v>
      </c>
      <c r="L39" s="184"/>
      <c r="Q39">
        <v>2017</v>
      </c>
      <c r="R39" s="181">
        <f t="shared" si="2"/>
        <v>0.227349825</v>
      </c>
      <c r="S39" s="188">
        <v>22.7349825</v>
      </c>
      <c r="T39" s="184"/>
      <c r="Z39">
        <v>2017</v>
      </c>
      <c r="AA39" s="181">
        <f t="shared" si="3"/>
        <v>0.227349825</v>
      </c>
      <c r="AB39" s="188">
        <v>22.7349825</v>
      </c>
      <c r="AC39" s="184"/>
    </row>
    <row r="40" spans="1:29" ht="12.75">
      <c r="A40">
        <v>2018</v>
      </c>
      <c r="B40" s="181">
        <f t="shared" si="0"/>
        <v>0.238965125</v>
      </c>
      <c r="C40" s="188">
        <v>23.8965125</v>
      </c>
      <c r="D40" s="184"/>
      <c r="I40">
        <v>2018</v>
      </c>
      <c r="J40" s="181">
        <f t="shared" si="1"/>
        <v>0.238965125</v>
      </c>
      <c r="K40" s="188">
        <v>23.8965125</v>
      </c>
      <c r="L40" s="184"/>
      <c r="Q40">
        <v>2018</v>
      </c>
      <c r="R40" s="181">
        <f t="shared" si="2"/>
        <v>0.238965125</v>
      </c>
      <c r="S40" s="188">
        <v>23.8965125</v>
      </c>
      <c r="T40" s="184"/>
      <c r="Z40">
        <v>2018</v>
      </c>
      <c r="AA40" s="181">
        <f t="shared" si="3"/>
        <v>0.238965125</v>
      </c>
      <c r="AB40" s="188">
        <v>23.8965125</v>
      </c>
      <c r="AC40" s="184"/>
    </row>
    <row r="41" spans="1:29" ht="12.75">
      <c r="A41">
        <v>2019</v>
      </c>
      <c r="B41" s="181">
        <f t="shared" si="0"/>
        <v>0.25100772492104156</v>
      </c>
      <c r="C41" s="188">
        <v>25.100772492104156</v>
      </c>
      <c r="D41" s="184"/>
      <c r="I41">
        <v>2019</v>
      </c>
      <c r="J41" s="181">
        <f t="shared" si="1"/>
        <v>0.25100772492104156</v>
      </c>
      <c r="K41" s="188">
        <v>25.100772492104156</v>
      </c>
      <c r="L41" s="184"/>
      <c r="Q41">
        <v>2019</v>
      </c>
      <c r="R41" s="181">
        <f t="shared" si="2"/>
        <v>0.25100772492104156</v>
      </c>
      <c r="S41" s="188">
        <v>25.100772492104156</v>
      </c>
      <c r="T41" s="184"/>
      <c r="Z41">
        <v>2019</v>
      </c>
      <c r="AA41" s="181">
        <f t="shared" si="3"/>
        <v>0.25100772492104156</v>
      </c>
      <c r="AB41" s="188">
        <v>25.100772492104156</v>
      </c>
      <c r="AC41" s="184"/>
    </row>
    <row r="42" spans="1:29" ht="12.75">
      <c r="A42">
        <v>2020</v>
      </c>
      <c r="B42" s="181">
        <f t="shared" si="0"/>
        <v>0.26365720926866326</v>
      </c>
      <c r="C42" s="188">
        <v>26.365720926866324</v>
      </c>
      <c r="D42" s="184"/>
      <c r="I42">
        <v>2020</v>
      </c>
      <c r="J42" s="181">
        <f t="shared" si="1"/>
        <v>0.26365720926866326</v>
      </c>
      <c r="K42" s="188">
        <v>26.365720926866324</v>
      </c>
      <c r="L42" s="184"/>
      <c r="Q42">
        <v>2020</v>
      </c>
      <c r="R42" s="181">
        <f t="shared" si="2"/>
        <v>0.26365720926866326</v>
      </c>
      <c r="S42" s="188">
        <v>26.365720926866324</v>
      </c>
      <c r="T42" s="184"/>
      <c r="Z42">
        <v>2020</v>
      </c>
      <c r="AA42" s="181">
        <f t="shared" si="3"/>
        <v>0.26365720926866326</v>
      </c>
      <c r="AB42" s="188">
        <v>26.365720926866324</v>
      </c>
      <c r="AC42" s="184"/>
    </row>
    <row r="43" spans="1:29" ht="12.75">
      <c r="A43">
        <v>2021</v>
      </c>
      <c r="B43" s="181">
        <f t="shared" si="0"/>
        <v>0.2769441618627744</v>
      </c>
      <c r="C43" s="188">
        <v>27.694416186277437</v>
      </c>
      <c r="D43" s="184"/>
      <c r="I43">
        <v>2021</v>
      </c>
      <c r="J43" s="181">
        <f t="shared" si="1"/>
        <v>0.2769441618627744</v>
      </c>
      <c r="K43" s="188">
        <v>27.694416186277437</v>
      </c>
      <c r="L43" s="184"/>
      <c r="Q43">
        <v>2021</v>
      </c>
      <c r="R43" s="181">
        <f t="shared" si="2"/>
        <v>0.2769441618627744</v>
      </c>
      <c r="S43" s="188">
        <v>27.694416186277437</v>
      </c>
      <c r="T43" s="184"/>
      <c r="Z43">
        <v>2021</v>
      </c>
      <c r="AA43" s="181">
        <f t="shared" si="3"/>
        <v>0.2769441618627744</v>
      </c>
      <c r="AB43" s="188">
        <v>27.694416186277437</v>
      </c>
      <c r="AC43" s="184"/>
    </row>
    <row r="44" spans="1:29" ht="12.75">
      <c r="A44">
        <v>2022</v>
      </c>
      <c r="B44" s="181">
        <f t="shared" si="0"/>
        <v>0.29090070778880256</v>
      </c>
      <c r="C44" s="188">
        <v>29.090070778880257</v>
      </c>
      <c r="D44" s="184"/>
      <c r="I44">
        <v>2022</v>
      </c>
      <c r="J44" s="181">
        <f t="shared" si="1"/>
        <v>0.29090070778880256</v>
      </c>
      <c r="K44" s="188">
        <v>29.090070778880257</v>
      </c>
      <c r="L44" s="184"/>
      <c r="Q44">
        <v>2022</v>
      </c>
      <c r="R44" s="181">
        <f t="shared" si="2"/>
        <v>0.29090070778880256</v>
      </c>
      <c r="S44" s="188">
        <v>29.090070778880257</v>
      </c>
      <c r="T44" s="184"/>
      <c r="Z44">
        <v>2022</v>
      </c>
      <c r="AA44" s="181">
        <f t="shared" si="3"/>
        <v>0.29090070778880256</v>
      </c>
      <c r="AB44" s="188">
        <v>29.090070778880257</v>
      </c>
      <c r="AC44" s="184"/>
    </row>
    <row r="45" spans="1:29" ht="12.75">
      <c r="A45">
        <v>2023</v>
      </c>
      <c r="B45" s="140">
        <f>20.010760250189/100</f>
        <v>0.20010760250189003</v>
      </c>
      <c r="C45" s="188">
        <v>30.556059106946275</v>
      </c>
      <c r="D45" s="184"/>
      <c r="I45">
        <v>2023</v>
      </c>
      <c r="J45" s="140">
        <f>20.010760250189/100</f>
        <v>0.20010760250189003</v>
      </c>
      <c r="K45" s="188">
        <v>30.556059106946275</v>
      </c>
      <c r="L45" s="184"/>
      <c r="Q45">
        <v>2023</v>
      </c>
      <c r="R45" s="140">
        <f>20.010760250189/100</f>
        <v>0.20010760250189003</v>
      </c>
      <c r="S45" s="188">
        <v>30.556059106946275</v>
      </c>
      <c r="T45" s="184"/>
      <c r="Z45">
        <v>2023</v>
      </c>
      <c r="AA45" s="140">
        <f>20.010760250189/100</f>
        <v>0.20010760250189003</v>
      </c>
      <c r="AB45" s="188">
        <v>30.556059106946275</v>
      </c>
      <c r="AC45" s="184"/>
    </row>
    <row r="46" spans="1:29" ht="12.75">
      <c r="A46">
        <v>2024</v>
      </c>
      <c r="B46" s="140">
        <f>20.4716512438045/100</f>
        <v>0.204716512438045</v>
      </c>
      <c r="C46" s="188">
        <v>32.09592562507796</v>
      </c>
      <c r="D46" s="184"/>
      <c r="I46">
        <v>2024</v>
      </c>
      <c r="J46" s="140">
        <f>20.4716512438045/100</f>
        <v>0.204716512438045</v>
      </c>
      <c r="K46" s="188">
        <v>32.09592562507796</v>
      </c>
      <c r="L46" s="184"/>
      <c r="Q46">
        <v>2024</v>
      </c>
      <c r="R46" s="140">
        <f>20.4716512438045/100</f>
        <v>0.204716512438045</v>
      </c>
      <c r="S46" s="188">
        <v>32.09592562507796</v>
      </c>
      <c r="T46" s="184"/>
      <c r="Z46">
        <v>2024</v>
      </c>
      <c r="AA46" s="140">
        <f>20.4716512438045/100</f>
        <v>0.204716512438045</v>
      </c>
      <c r="AB46" s="188">
        <v>32.09592562507796</v>
      </c>
      <c r="AC46" s="184"/>
    </row>
    <row r="47" spans="1:28" ht="12.75">
      <c r="A47">
        <v>2025</v>
      </c>
      <c r="B47" s="140">
        <f>20.9485444940228/100</f>
        <v>0.20948544494022803</v>
      </c>
      <c r="C47" s="188">
        <v>33.71339340996214</v>
      </c>
      <c r="I47">
        <v>2025</v>
      </c>
      <c r="J47" s="140">
        <f>20.9485444940228/100</f>
        <v>0.20948544494022803</v>
      </c>
      <c r="K47" s="188">
        <v>33.71339340996214</v>
      </c>
      <c r="Q47">
        <v>2025</v>
      </c>
      <c r="R47" s="140">
        <f>20.9485444940228/100</f>
        <v>0.20948544494022803</v>
      </c>
      <c r="S47" s="188">
        <v>33.71339340996214</v>
      </c>
      <c r="Z47">
        <v>2025</v>
      </c>
      <c r="AA47" s="140">
        <f>20.9485444940228/100</f>
        <v>0.20948544494022803</v>
      </c>
      <c r="AB47" s="188">
        <v>33.71339340996214</v>
      </c>
    </row>
    <row r="48" spans="1:28" ht="12.75">
      <c r="A48">
        <v>2026</v>
      </c>
      <c r="B48" s="140">
        <f>21.4416611990727/100</f>
        <v>0.214416611990727</v>
      </c>
      <c r="C48" s="188">
        <v>35.412373161994374</v>
      </c>
      <c r="I48">
        <v>2026</v>
      </c>
      <c r="J48" s="140">
        <f>21.4416611990727/100</f>
        <v>0.214416611990727</v>
      </c>
      <c r="K48" s="188">
        <v>35.412373161994374</v>
      </c>
      <c r="Q48">
        <v>2026</v>
      </c>
      <c r="R48" s="140">
        <f>21.4416611990727/100</f>
        <v>0.214416611990727</v>
      </c>
      <c r="S48" s="188">
        <v>35.412373161994374</v>
      </c>
      <c r="Z48">
        <v>2026</v>
      </c>
      <c r="AA48" s="140">
        <f>21.4416611990727/100</f>
        <v>0.214416611990727</v>
      </c>
      <c r="AB48" s="188">
        <v>35.412373161994374</v>
      </c>
    </row>
    <row r="49" spans="1:28" ht="12.75">
      <c r="A49">
        <v>2027</v>
      </c>
      <c r="B49" s="140">
        <f>21.938136402422/100</f>
        <v>0.21938136402422</v>
      </c>
      <c r="C49" s="188">
        <v>37.19697266053847</v>
      </c>
      <c r="I49">
        <v>2027</v>
      </c>
      <c r="J49" s="140">
        <f>21.938136402422/100</f>
        <v>0.21938136402422</v>
      </c>
      <c r="K49" s="188">
        <v>37.19697266053847</v>
      </c>
      <c r="Q49">
        <v>2027</v>
      </c>
      <c r="R49" s="140">
        <f>21.938136402422/100</f>
        <v>0.21938136402422</v>
      </c>
      <c r="S49" s="188">
        <v>37.19697266053847</v>
      </c>
      <c r="Z49">
        <v>2027</v>
      </c>
      <c r="AA49" s="140">
        <f>21.938136402422/100</f>
        <v>0.21938136402422</v>
      </c>
      <c r="AB49" s="188">
        <v>37.19697266053847</v>
      </c>
    </row>
    <row r="50" spans="1:28" ht="12.75">
      <c r="A50">
        <v>2028</v>
      </c>
      <c r="B50" s="140">
        <f>22.4602452722782/100</f>
        <v>0.224602452722782</v>
      </c>
      <c r="C50" s="188">
        <v>39.071506695681826</v>
      </c>
      <c r="I50">
        <v>2028</v>
      </c>
      <c r="J50" s="140">
        <f>22.4602452722782/100</f>
        <v>0.224602452722782</v>
      </c>
      <c r="K50" s="188">
        <v>39.071506695681826</v>
      </c>
      <c r="Q50">
        <v>2028</v>
      </c>
      <c r="R50" s="140">
        <f>22.4602452722782/100</f>
        <v>0.224602452722782</v>
      </c>
      <c r="S50" s="188">
        <v>39.071506695681826</v>
      </c>
      <c r="Z50">
        <v>2028</v>
      </c>
      <c r="AA50" s="140">
        <f>22.4602452722782/100</f>
        <v>0.224602452722782</v>
      </c>
      <c r="AB50" s="188">
        <v>39.071506695681826</v>
      </c>
    </row>
    <row r="53" spans="1:31" ht="18">
      <c r="A53" s="172" t="s">
        <v>763</v>
      </c>
      <c r="C53" s="6"/>
      <c r="D53" s="6" t="s">
        <v>775</v>
      </c>
      <c r="E53" s="6"/>
      <c r="F53" t="s">
        <v>777</v>
      </c>
      <c r="I53" s="172" t="s">
        <v>763</v>
      </c>
      <c r="K53" s="6"/>
      <c r="L53" s="6" t="s">
        <v>775</v>
      </c>
      <c r="M53" s="6"/>
      <c r="N53" t="s">
        <v>777</v>
      </c>
      <c r="Q53" s="172" t="s">
        <v>763</v>
      </c>
      <c r="S53" s="6"/>
      <c r="T53" s="6" t="s">
        <v>775</v>
      </c>
      <c r="U53" s="6"/>
      <c r="V53" t="s">
        <v>777</v>
      </c>
      <c r="Z53" s="172" t="s">
        <v>763</v>
      </c>
      <c r="AB53" s="6"/>
      <c r="AC53" s="6" t="s">
        <v>775</v>
      </c>
      <c r="AD53" s="6"/>
      <c r="AE53" t="s">
        <v>777</v>
      </c>
    </row>
    <row r="54" spans="1:30" ht="25.5">
      <c r="A54" t="s">
        <v>159</v>
      </c>
      <c r="B54" s="7" t="s">
        <v>160</v>
      </c>
      <c r="C54" s="7" t="s">
        <v>161</v>
      </c>
      <c r="D54" s="7" t="s">
        <v>162</v>
      </c>
      <c r="E54" s="7" t="s">
        <v>163</v>
      </c>
      <c r="I54" t="s">
        <v>159</v>
      </c>
      <c r="J54" s="7" t="s">
        <v>160</v>
      </c>
      <c r="K54" s="7" t="s">
        <v>161</v>
      </c>
      <c r="L54" s="7" t="s">
        <v>162</v>
      </c>
      <c r="M54" s="7" t="s">
        <v>163</v>
      </c>
      <c r="Q54" t="s">
        <v>159</v>
      </c>
      <c r="R54" s="7" t="s">
        <v>160</v>
      </c>
      <c r="S54" s="7" t="s">
        <v>161</v>
      </c>
      <c r="T54" s="7" t="s">
        <v>162</v>
      </c>
      <c r="U54" s="7" t="s">
        <v>163</v>
      </c>
      <c r="Z54" t="s">
        <v>159</v>
      </c>
      <c r="AA54" s="7" t="s">
        <v>160</v>
      </c>
      <c r="AB54" s="7" t="s">
        <v>161</v>
      </c>
      <c r="AC54" s="7" t="s">
        <v>162</v>
      </c>
      <c r="AD54" s="7" t="s">
        <v>163</v>
      </c>
    </row>
    <row r="55" spans="1:30" ht="12.75">
      <c r="A55">
        <v>2009</v>
      </c>
      <c r="B55" s="68">
        <f aca="true" t="shared" si="4" ref="B55:B74">AVERAGE(C55:E55)</f>
        <v>12.266896459747818</v>
      </c>
      <c r="C55" s="188">
        <v>14.143096508244422</v>
      </c>
      <c r="D55" s="188">
        <v>12.331656159068865</v>
      </c>
      <c r="E55" s="188">
        <v>10.325936711930163</v>
      </c>
      <c r="I55">
        <v>2009</v>
      </c>
      <c r="J55" s="68">
        <f aca="true" t="shared" si="5" ref="J55:J74">AVERAGE(K55:M55)</f>
        <v>12.266896459747818</v>
      </c>
      <c r="K55" s="188">
        <v>14.143096508244422</v>
      </c>
      <c r="L55" s="188">
        <v>12.331656159068865</v>
      </c>
      <c r="M55" s="188">
        <v>10.325936711930163</v>
      </c>
      <c r="Q55">
        <v>2009</v>
      </c>
      <c r="R55" s="68">
        <f aca="true" t="shared" si="6" ref="R55:R74">AVERAGE(S55:U55)</f>
        <v>12.266896459747818</v>
      </c>
      <c r="S55" s="188">
        <v>14.143096508244422</v>
      </c>
      <c r="T55" s="188">
        <v>12.331656159068865</v>
      </c>
      <c r="U55" s="188">
        <v>10.325936711930163</v>
      </c>
      <c r="Z55">
        <v>2009</v>
      </c>
      <c r="AA55" s="68">
        <f aca="true" t="shared" si="7" ref="AA55:AA74">AVERAGE(AB55:AD55)</f>
        <v>12.266896459747818</v>
      </c>
      <c r="AB55" s="188">
        <v>14.143096508244422</v>
      </c>
      <c r="AC55" s="188">
        <v>12.331656159068865</v>
      </c>
      <c r="AD55" s="188">
        <v>10.325936711930163</v>
      </c>
    </row>
    <row r="56" spans="1:30" ht="12.75">
      <c r="A56">
        <v>2010</v>
      </c>
      <c r="B56" s="68">
        <f t="shared" si="4"/>
        <v>11.956443905593275</v>
      </c>
      <c r="C56" s="188">
        <v>14.39769398642095</v>
      </c>
      <c r="D56" s="188">
        <v>11.707184772065956</v>
      </c>
      <c r="E56" s="188">
        <v>9.764452958292921</v>
      </c>
      <c r="I56">
        <v>2010</v>
      </c>
      <c r="J56" s="68">
        <f t="shared" si="5"/>
        <v>11.956443905593275</v>
      </c>
      <c r="K56" s="188">
        <v>14.39769398642095</v>
      </c>
      <c r="L56" s="188">
        <v>11.707184772065956</v>
      </c>
      <c r="M56" s="188">
        <v>9.764452958292921</v>
      </c>
      <c r="Q56">
        <v>2010</v>
      </c>
      <c r="R56" s="68">
        <f t="shared" si="6"/>
        <v>11.956443905593275</v>
      </c>
      <c r="S56" s="188">
        <v>14.39769398642095</v>
      </c>
      <c r="T56" s="188">
        <v>11.707184772065956</v>
      </c>
      <c r="U56" s="188">
        <v>9.764452958292921</v>
      </c>
      <c r="Z56">
        <v>2010</v>
      </c>
      <c r="AA56" s="68">
        <f t="shared" si="7"/>
        <v>11.956443905593275</v>
      </c>
      <c r="AB56" s="188">
        <v>14.39769398642095</v>
      </c>
      <c r="AC56" s="188">
        <v>11.707184772065956</v>
      </c>
      <c r="AD56" s="188">
        <v>9.764452958292921</v>
      </c>
    </row>
    <row r="57" spans="1:30" ht="12.75">
      <c r="A57">
        <v>2011</v>
      </c>
      <c r="B57" s="68">
        <f t="shared" si="4"/>
        <v>12.941310216618172</v>
      </c>
      <c r="C57" s="188">
        <v>15.67105480116392</v>
      </c>
      <c r="D57" s="188">
        <v>12.592453928225025</v>
      </c>
      <c r="E57" s="188">
        <v>10.560421920465568</v>
      </c>
      <c r="I57">
        <v>2011</v>
      </c>
      <c r="J57" s="68">
        <f t="shared" si="5"/>
        <v>12.941310216618172</v>
      </c>
      <c r="K57" s="188">
        <v>15.67105480116392</v>
      </c>
      <c r="L57" s="188">
        <v>12.592453928225025</v>
      </c>
      <c r="M57" s="188">
        <v>10.560421920465568</v>
      </c>
      <c r="Q57">
        <v>2011</v>
      </c>
      <c r="R57" s="68">
        <f t="shared" si="6"/>
        <v>12.941310216618172</v>
      </c>
      <c r="S57" s="188">
        <v>15.67105480116392</v>
      </c>
      <c r="T57" s="188">
        <v>12.592453928225025</v>
      </c>
      <c r="U57" s="188">
        <v>10.560421920465568</v>
      </c>
      <c r="Z57">
        <v>2011</v>
      </c>
      <c r="AA57" s="68">
        <f t="shared" si="7"/>
        <v>12.941310216618172</v>
      </c>
      <c r="AB57" s="188">
        <v>15.67105480116392</v>
      </c>
      <c r="AC57" s="188">
        <v>12.592453928225025</v>
      </c>
      <c r="AD57" s="188">
        <v>10.560421920465568</v>
      </c>
    </row>
    <row r="58" spans="1:30" ht="12.75">
      <c r="A58">
        <v>2012</v>
      </c>
      <c r="B58" s="68">
        <f t="shared" si="4"/>
        <v>13.62617523440026</v>
      </c>
      <c r="C58" s="188">
        <v>16.5320101842871</v>
      </c>
      <c r="D58" s="188">
        <v>13.220972356935016</v>
      </c>
      <c r="E58" s="188">
        <v>11.125543161978662</v>
      </c>
      <c r="I58">
        <v>2012</v>
      </c>
      <c r="J58" s="68">
        <f t="shared" si="5"/>
        <v>13.62617523440026</v>
      </c>
      <c r="K58" s="188">
        <v>16.5320101842871</v>
      </c>
      <c r="L58" s="188">
        <v>13.220972356935016</v>
      </c>
      <c r="M58" s="188">
        <v>11.125543161978662</v>
      </c>
      <c r="Q58">
        <v>2012</v>
      </c>
      <c r="R58" s="68">
        <f t="shared" si="6"/>
        <v>13.62617523440026</v>
      </c>
      <c r="S58" s="188">
        <v>16.5320101842871</v>
      </c>
      <c r="T58" s="188">
        <v>13.220972356935016</v>
      </c>
      <c r="U58" s="188">
        <v>11.125543161978662</v>
      </c>
      <c r="Z58">
        <v>2012</v>
      </c>
      <c r="AA58" s="68">
        <f t="shared" si="7"/>
        <v>13.62617523440026</v>
      </c>
      <c r="AB58" s="188">
        <v>16.5320101842871</v>
      </c>
      <c r="AC58" s="188">
        <v>13.220972356935016</v>
      </c>
      <c r="AD58" s="188">
        <v>11.125543161978662</v>
      </c>
    </row>
    <row r="59" spans="1:30" ht="12.75">
      <c r="A59">
        <v>2013</v>
      </c>
      <c r="B59" s="68">
        <f t="shared" si="4"/>
        <v>14.541242321370838</v>
      </c>
      <c r="C59" s="188">
        <v>17.586037827352087</v>
      </c>
      <c r="D59" s="188">
        <v>14.111474296799225</v>
      </c>
      <c r="E59" s="188">
        <v>11.926214839961203</v>
      </c>
      <c r="I59">
        <v>2013</v>
      </c>
      <c r="J59" s="68">
        <f t="shared" si="5"/>
        <v>14.541242321370838</v>
      </c>
      <c r="K59" s="188">
        <v>17.586037827352087</v>
      </c>
      <c r="L59" s="188">
        <v>14.111474296799225</v>
      </c>
      <c r="M59" s="188">
        <v>11.926214839961203</v>
      </c>
      <c r="Q59">
        <v>2013</v>
      </c>
      <c r="R59" s="68">
        <f t="shared" si="6"/>
        <v>14.541242321370838</v>
      </c>
      <c r="S59" s="188">
        <v>17.586037827352087</v>
      </c>
      <c r="T59" s="188">
        <v>14.111474296799225</v>
      </c>
      <c r="U59" s="188">
        <v>11.926214839961203</v>
      </c>
      <c r="Z59">
        <v>2013</v>
      </c>
      <c r="AA59" s="68">
        <f t="shared" si="7"/>
        <v>14.541242321370838</v>
      </c>
      <c r="AB59" s="188">
        <v>17.586037827352087</v>
      </c>
      <c r="AC59" s="188">
        <v>14.111474296799225</v>
      </c>
      <c r="AD59" s="188">
        <v>11.926214839961203</v>
      </c>
    </row>
    <row r="60" spans="1:30" ht="12.75">
      <c r="A60">
        <v>2014</v>
      </c>
      <c r="B60" s="68">
        <f t="shared" si="4"/>
        <v>15.84548011639185</v>
      </c>
      <c r="C60" s="188">
        <v>19.05456353055286</v>
      </c>
      <c r="D60" s="188">
        <v>15.398482056256062</v>
      </c>
      <c r="E60" s="188">
        <v>13.083394762366634</v>
      </c>
      <c r="I60">
        <v>2014</v>
      </c>
      <c r="J60" s="68">
        <f t="shared" si="5"/>
        <v>15.84548011639185</v>
      </c>
      <c r="K60" s="188">
        <v>19.05456353055286</v>
      </c>
      <c r="L60" s="188">
        <v>15.398482056256062</v>
      </c>
      <c r="M60" s="188">
        <v>13.083394762366634</v>
      </c>
      <c r="Q60">
        <v>2014</v>
      </c>
      <c r="R60" s="68">
        <f t="shared" si="6"/>
        <v>15.84548011639185</v>
      </c>
      <c r="S60" s="188">
        <v>19.05456353055286</v>
      </c>
      <c r="T60" s="188">
        <v>15.398482056256062</v>
      </c>
      <c r="U60" s="188">
        <v>13.083394762366634</v>
      </c>
      <c r="Z60">
        <v>2014</v>
      </c>
      <c r="AA60" s="68">
        <f t="shared" si="7"/>
        <v>15.84548011639185</v>
      </c>
      <c r="AB60" s="188">
        <v>19.05456353055286</v>
      </c>
      <c r="AC60" s="188">
        <v>15.398482056256062</v>
      </c>
      <c r="AD60" s="188">
        <v>13.083394762366634</v>
      </c>
    </row>
    <row r="61" spans="1:30" ht="12.75">
      <c r="A61">
        <v>2015</v>
      </c>
      <c r="B61" s="68">
        <f t="shared" si="4"/>
        <v>16.24298819915939</v>
      </c>
      <c r="C61" s="188">
        <v>19.566011154219204</v>
      </c>
      <c r="D61" s="188">
        <v>15.757109602327839</v>
      </c>
      <c r="E61" s="188">
        <v>13.405843840931134</v>
      </c>
      <c r="I61">
        <v>2015</v>
      </c>
      <c r="J61" s="68">
        <f t="shared" si="5"/>
        <v>16.24298819915939</v>
      </c>
      <c r="K61" s="188">
        <v>19.566011154219204</v>
      </c>
      <c r="L61" s="188">
        <v>15.757109602327839</v>
      </c>
      <c r="M61" s="188">
        <v>13.405843840931134</v>
      </c>
      <c r="Q61">
        <v>2015</v>
      </c>
      <c r="R61" s="68">
        <f t="shared" si="6"/>
        <v>16.24298819915939</v>
      </c>
      <c r="S61" s="188">
        <v>19.566011154219204</v>
      </c>
      <c r="T61" s="188">
        <v>15.757109602327839</v>
      </c>
      <c r="U61" s="188">
        <v>13.405843840931134</v>
      </c>
      <c r="Z61">
        <v>2015</v>
      </c>
      <c r="AA61" s="68">
        <f t="shared" si="7"/>
        <v>16.24298819915939</v>
      </c>
      <c r="AB61" s="188">
        <v>19.566011154219204</v>
      </c>
      <c r="AC61" s="188">
        <v>15.757109602327839</v>
      </c>
      <c r="AD61" s="188">
        <v>13.405843840931134</v>
      </c>
    </row>
    <row r="62" spans="1:30" ht="12.75">
      <c r="A62">
        <v>2016</v>
      </c>
      <c r="B62" s="68">
        <f t="shared" si="4"/>
        <v>16.394948270287745</v>
      </c>
      <c r="C62" s="188">
        <v>19.77809408341416</v>
      </c>
      <c r="D62" s="188">
        <v>15.885480116391852</v>
      </c>
      <c r="E62" s="188">
        <v>13.521270611057226</v>
      </c>
      <c r="I62">
        <v>2016</v>
      </c>
      <c r="J62" s="68">
        <f t="shared" si="5"/>
        <v>16.394948270287745</v>
      </c>
      <c r="K62" s="188">
        <v>19.77809408341416</v>
      </c>
      <c r="L62" s="188">
        <v>15.885480116391852</v>
      </c>
      <c r="M62" s="188">
        <v>13.521270611057226</v>
      </c>
      <c r="Q62">
        <v>2016</v>
      </c>
      <c r="R62" s="68">
        <f t="shared" si="6"/>
        <v>16.394948270287745</v>
      </c>
      <c r="S62" s="188">
        <v>19.77809408341416</v>
      </c>
      <c r="T62" s="188">
        <v>15.885480116391852</v>
      </c>
      <c r="U62" s="188">
        <v>13.521270611057226</v>
      </c>
      <c r="Z62">
        <v>2016</v>
      </c>
      <c r="AA62" s="68">
        <f t="shared" si="7"/>
        <v>16.394948270287745</v>
      </c>
      <c r="AB62" s="188">
        <v>19.77809408341416</v>
      </c>
      <c r="AC62" s="188">
        <v>15.885480116391852</v>
      </c>
      <c r="AD62" s="188">
        <v>13.521270611057226</v>
      </c>
    </row>
    <row r="63" spans="1:30" ht="12.75">
      <c r="A63">
        <v>2017</v>
      </c>
      <c r="B63" s="68">
        <f t="shared" si="4"/>
        <v>16.53976721629486</v>
      </c>
      <c r="C63" s="188">
        <v>19.958763336566438</v>
      </c>
      <c r="D63" s="188">
        <v>16.019114936954413</v>
      </c>
      <c r="E63" s="188">
        <v>13.641423375363724</v>
      </c>
      <c r="I63">
        <v>2017</v>
      </c>
      <c r="J63" s="68">
        <f t="shared" si="5"/>
        <v>16.53976721629486</v>
      </c>
      <c r="K63" s="188">
        <v>19.958763336566438</v>
      </c>
      <c r="L63" s="188">
        <v>16.019114936954413</v>
      </c>
      <c r="M63" s="188">
        <v>13.641423375363724</v>
      </c>
      <c r="Q63">
        <v>2017</v>
      </c>
      <c r="R63" s="68">
        <f t="shared" si="6"/>
        <v>16.53976721629486</v>
      </c>
      <c r="S63" s="188">
        <v>19.958763336566438</v>
      </c>
      <c r="T63" s="188">
        <v>16.019114936954413</v>
      </c>
      <c r="U63" s="188">
        <v>13.641423375363724</v>
      </c>
      <c r="Z63">
        <v>2017</v>
      </c>
      <c r="AA63" s="68">
        <f t="shared" si="7"/>
        <v>16.53976721629486</v>
      </c>
      <c r="AB63" s="188">
        <v>19.958763336566438</v>
      </c>
      <c r="AC63" s="188">
        <v>16.019114936954413</v>
      </c>
      <c r="AD63" s="188">
        <v>13.641423375363724</v>
      </c>
    </row>
    <row r="64" spans="1:30" ht="12.75">
      <c r="A64">
        <v>2018</v>
      </c>
      <c r="B64" s="68">
        <f t="shared" si="4"/>
        <v>16.592013417394114</v>
      </c>
      <c r="C64" s="188">
        <v>20.030535887487876</v>
      </c>
      <c r="D64" s="188">
        <v>16.063855480116388</v>
      </c>
      <c r="E64" s="188">
        <v>13.68164888457808</v>
      </c>
      <c r="I64">
        <v>2018</v>
      </c>
      <c r="J64" s="68">
        <f t="shared" si="5"/>
        <v>16.592013417394114</v>
      </c>
      <c r="K64" s="188">
        <v>20.030535887487876</v>
      </c>
      <c r="L64" s="188">
        <v>16.063855480116388</v>
      </c>
      <c r="M64" s="188">
        <v>13.68164888457808</v>
      </c>
      <c r="Q64">
        <v>2018</v>
      </c>
      <c r="R64" s="68">
        <f t="shared" si="6"/>
        <v>16.592013417394114</v>
      </c>
      <c r="S64" s="188">
        <v>20.030535887487876</v>
      </c>
      <c r="T64" s="188">
        <v>16.063855480116388</v>
      </c>
      <c r="U64" s="188">
        <v>13.68164888457808</v>
      </c>
      <c r="Z64">
        <v>2018</v>
      </c>
      <c r="AA64" s="68">
        <f t="shared" si="7"/>
        <v>16.592013417394114</v>
      </c>
      <c r="AB64" s="188">
        <v>20.030535887487876</v>
      </c>
      <c r="AC64" s="188">
        <v>16.063855480116388</v>
      </c>
      <c r="AD64" s="188">
        <v>13.68164888457808</v>
      </c>
    </row>
    <row r="65" spans="1:30" ht="12.75">
      <c r="A65">
        <v>2019</v>
      </c>
      <c r="B65" s="68">
        <f t="shared" si="4"/>
        <v>17.159707713560966</v>
      </c>
      <c r="C65" s="188">
        <v>20.609114844165315</v>
      </c>
      <c r="D65" s="188">
        <v>16.593257791332256</v>
      </c>
      <c r="E65" s="188">
        <v>14.276750505185333</v>
      </c>
      <c r="I65">
        <v>2019</v>
      </c>
      <c r="J65" s="68">
        <f t="shared" si="5"/>
        <v>17.159707713560966</v>
      </c>
      <c r="K65" s="188">
        <v>20.609114844165315</v>
      </c>
      <c r="L65" s="188">
        <v>16.593257791332256</v>
      </c>
      <c r="M65" s="188">
        <v>14.276750505185333</v>
      </c>
      <c r="Q65">
        <v>2019</v>
      </c>
      <c r="R65" s="68">
        <f t="shared" si="6"/>
        <v>17.159707713560966</v>
      </c>
      <c r="S65" s="188">
        <v>20.609114844165315</v>
      </c>
      <c r="T65" s="188">
        <v>16.593257791332256</v>
      </c>
      <c r="U65" s="188">
        <v>14.276750505185333</v>
      </c>
      <c r="Z65">
        <v>2019</v>
      </c>
      <c r="AA65" s="68">
        <f t="shared" si="7"/>
        <v>17.159707713560966</v>
      </c>
      <c r="AB65" s="188">
        <v>20.609114844165315</v>
      </c>
      <c r="AC65" s="188">
        <v>16.593257791332256</v>
      </c>
      <c r="AD65" s="188">
        <v>14.276750505185333</v>
      </c>
    </row>
    <row r="66" spans="1:30" ht="12.75">
      <c r="A66">
        <v>2020</v>
      </c>
      <c r="B66" s="68">
        <f t="shared" si="4"/>
        <v>17.74741665984359</v>
      </c>
      <c r="C66" s="188">
        <v>21.204405965259635</v>
      </c>
      <c r="D66" s="188">
        <v>17.140107147404052</v>
      </c>
      <c r="E66" s="188">
        <v>14.897736866867078</v>
      </c>
      <c r="I66">
        <v>2020</v>
      </c>
      <c r="J66" s="68">
        <f t="shared" si="5"/>
        <v>17.74741665984359</v>
      </c>
      <c r="K66" s="188">
        <v>21.204405965259635</v>
      </c>
      <c r="L66" s="188">
        <v>17.140107147404052</v>
      </c>
      <c r="M66" s="188">
        <v>14.897736866867078</v>
      </c>
      <c r="Q66">
        <v>2020</v>
      </c>
      <c r="R66" s="68">
        <f t="shared" si="6"/>
        <v>17.74741665984359</v>
      </c>
      <c r="S66" s="188">
        <v>21.204405965259635</v>
      </c>
      <c r="T66" s="188">
        <v>17.140107147404052</v>
      </c>
      <c r="U66" s="188">
        <v>14.897736866867078</v>
      </c>
      <c r="Z66">
        <v>2020</v>
      </c>
      <c r="AA66" s="68">
        <f t="shared" si="7"/>
        <v>17.74741665984359</v>
      </c>
      <c r="AB66" s="188">
        <v>21.204405965259635</v>
      </c>
      <c r="AC66" s="188">
        <v>17.140107147404052</v>
      </c>
      <c r="AD66" s="188">
        <v>14.897736866867078</v>
      </c>
    </row>
    <row r="67" spans="1:30" ht="12.75">
      <c r="A67">
        <v>2021</v>
      </c>
      <c r="B67" s="68">
        <f t="shared" si="4"/>
        <v>18.355868125111524</v>
      </c>
      <c r="C67" s="188">
        <v>21.816891979076583</v>
      </c>
      <c r="D67" s="188">
        <v>17.7049785351948</v>
      </c>
      <c r="E67" s="188">
        <v>15.54573386106318</v>
      </c>
      <c r="I67">
        <v>2021</v>
      </c>
      <c r="J67" s="68">
        <f t="shared" si="5"/>
        <v>18.355868125111524</v>
      </c>
      <c r="K67" s="188">
        <v>21.816891979076583</v>
      </c>
      <c r="L67" s="188">
        <v>17.7049785351948</v>
      </c>
      <c r="M67" s="188">
        <v>15.54573386106318</v>
      </c>
      <c r="Q67">
        <v>2021</v>
      </c>
      <c r="R67" s="68">
        <f t="shared" si="6"/>
        <v>18.355868125111524</v>
      </c>
      <c r="S67" s="188">
        <v>21.816891979076583</v>
      </c>
      <c r="T67" s="188">
        <v>17.7049785351948</v>
      </c>
      <c r="U67" s="188">
        <v>15.54573386106318</v>
      </c>
      <c r="Z67">
        <v>2021</v>
      </c>
      <c r="AA67" s="68">
        <f t="shared" si="7"/>
        <v>18.355868125111524</v>
      </c>
      <c r="AB67" s="188">
        <v>21.816891979076583</v>
      </c>
      <c r="AC67" s="188">
        <v>17.7049785351948</v>
      </c>
      <c r="AD67" s="188">
        <v>15.54573386106318</v>
      </c>
    </row>
    <row r="68" spans="1:30" ht="12.75">
      <c r="A68">
        <v>2022</v>
      </c>
      <c r="B68" s="68">
        <f t="shared" si="4"/>
        <v>18.98581726657501</v>
      </c>
      <c r="C68" s="188">
        <v>22.44706955745497</v>
      </c>
      <c r="D68" s="188">
        <v>18.288465890902234</v>
      </c>
      <c r="E68" s="188">
        <v>16.221916351367824</v>
      </c>
      <c r="I68">
        <v>2022</v>
      </c>
      <c r="J68" s="68">
        <f t="shared" si="5"/>
        <v>18.98581726657501</v>
      </c>
      <c r="K68" s="188">
        <v>22.44706955745497</v>
      </c>
      <c r="L68" s="188">
        <v>18.288465890902234</v>
      </c>
      <c r="M68" s="188">
        <v>16.221916351367824</v>
      </c>
      <c r="Q68">
        <v>2022</v>
      </c>
      <c r="R68" s="68">
        <f t="shared" si="6"/>
        <v>18.98581726657501</v>
      </c>
      <c r="S68" s="188">
        <v>22.44706955745497</v>
      </c>
      <c r="T68" s="188">
        <v>18.288465890902234</v>
      </c>
      <c r="U68" s="188">
        <v>16.221916351367824</v>
      </c>
      <c r="Z68">
        <v>2022</v>
      </c>
      <c r="AA68" s="68">
        <f t="shared" si="7"/>
        <v>18.98581726657501</v>
      </c>
      <c r="AB68" s="188">
        <v>22.44706955745497</v>
      </c>
      <c r="AC68" s="188">
        <v>18.288465890902234</v>
      </c>
      <c r="AD68" s="188">
        <v>16.221916351367824</v>
      </c>
    </row>
    <row r="69" spans="1:30" ht="12.75">
      <c r="A69">
        <v>2023</v>
      </c>
      <c r="B69" s="68">
        <f t="shared" si="4"/>
        <v>19.638047582239224</v>
      </c>
      <c r="C69" s="188">
        <v>23.09544971852349</v>
      </c>
      <c r="D69" s="188">
        <v>18.891182724555303</v>
      </c>
      <c r="E69" s="188">
        <v>16.92751030363888</v>
      </c>
      <c r="I69">
        <v>2023</v>
      </c>
      <c r="J69" s="68">
        <f t="shared" si="5"/>
        <v>19.638047582239224</v>
      </c>
      <c r="K69" s="188">
        <v>23.09544971852349</v>
      </c>
      <c r="L69" s="188">
        <v>18.891182724555303</v>
      </c>
      <c r="M69" s="188">
        <v>16.92751030363888</v>
      </c>
      <c r="Q69">
        <v>2023</v>
      </c>
      <c r="R69" s="68">
        <f t="shared" si="6"/>
        <v>19.638047582239224</v>
      </c>
      <c r="S69" s="188">
        <v>23.09544971852349</v>
      </c>
      <c r="T69" s="188">
        <v>18.891182724555303</v>
      </c>
      <c r="U69" s="188">
        <v>16.92751030363888</v>
      </c>
      <c r="Z69">
        <v>2023</v>
      </c>
      <c r="AA69" s="68">
        <f t="shared" si="7"/>
        <v>19.638047582239224</v>
      </c>
      <c r="AB69" s="188">
        <v>23.09544971852349</v>
      </c>
      <c r="AC69" s="188">
        <v>18.891182724555303</v>
      </c>
      <c r="AD69" s="188">
        <v>16.92751030363888</v>
      </c>
    </row>
    <row r="70" spans="1:30" ht="12.75">
      <c r="A70">
        <v>2024</v>
      </c>
      <c r="B70" s="68">
        <f t="shared" si="4"/>
        <v>20.313372004980653</v>
      </c>
      <c r="C70" s="188">
        <v>23.762558241091103</v>
      </c>
      <c r="D70" s="188">
        <v>19.513762765091652</v>
      </c>
      <c r="E70" s="188">
        <v>17.663795008759212</v>
      </c>
      <c r="I70">
        <v>2024</v>
      </c>
      <c r="J70" s="68">
        <f t="shared" si="5"/>
        <v>20.313372004980653</v>
      </c>
      <c r="K70" s="188">
        <v>23.762558241091103</v>
      </c>
      <c r="L70" s="188">
        <v>19.513762765091652</v>
      </c>
      <c r="M70" s="188">
        <v>17.663795008759212</v>
      </c>
      <c r="Q70">
        <v>2024</v>
      </c>
      <c r="R70" s="68">
        <f t="shared" si="6"/>
        <v>20.313372004980653</v>
      </c>
      <c r="S70" s="188">
        <v>23.762558241091103</v>
      </c>
      <c r="T70" s="188">
        <v>19.513762765091652</v>
      </c>
      <c r="U70" s="188">
        <v>17.663795008759212</v>
      </c>
      <c r="Z70">
        <v>2024</v>
      </c>
      <c r="AA70" s="68">
        <f t="shared" si="7"/>
        <v>20.313372004980653</v>
      </c>
      <c r="AB70" s="188">
        <v>23.762558241091103</v>
      </c>
      <c r="AC70" s="188">
        <v>19.513762765091652</v>
      </c>
      <c r="AD70" s="188">
        <v>17.663795008759212</v>
      </c>
    </row>
    <row r="71" spans="1:30" ht="12.75">
      <c r="A71">
        <v>2025</v>
      </c>
      <c r="B71" s="68">
        <f t="shared" si="4"/>
        <v>21.012634039927118</v>
      </c>
      <c r="C71" s="188">
        <v>24.44893609100701</v>
      </c>
      <c r="D71" s="188">
        <v>20.156860626694353</v>
      </c>
      <c r="E71" s="188">
        <v>18.432105402079987</v>
      </c>
      <c r="I71">
        <v>2025</v>
      </c>
      <c r="J71" s="68">
        <f t="shared" si="5"/>
        <v>21.012634039927118</v>
      </c>
      <c r="K71" s="188">
        <v>24.44893609100701</v>
      </c>
      <c r="L71" s="188">
        <v>20.156860626694353</v>
      </c>
      <c r="M71" s="188">
        <v>18.432105402079987</v>
      </c>
      <c r="Q71">
        <v>2025</v>
      </c>
      <c r="R71" s="68">
        <f t="shared" si="6"/>
        <v>21.012634039927118</v>
      </c>
      <c r="S71" s="188">
        <v>24.44893609100701</v>
      </c>
      <c r="T71" s="188">
        <v>20.156860626694353</v>
      </c>
      <c r="U71" s="188">
        <v>18.432105402079987</v>
      </c>
      <c r="Z71">
        <v>2025</v>
      </c>
      <c r="AA71" s="68">
        <f t="shared" si="7"/>
        <v>21.012634039927118</v>
      </c>
      <c r="AB71" s="188">
        <v>24.44893609100701</v>
      </c>
      <c r="AC71" s="188">
        <v>20.156860626694353</v>
      </c>
      <c r="AD71" s="188">
        <v>18.432105402079987</v>
      </c>
    </row>
    <row r="72" spans="1:30" ht="12.75">
      <c r="A72">
        <v>2026</v>
      </c>
      <c r="B72" s="68">
        <f t="shared" si="4"/>
        <v>21.736708946891923</v>
      </c>
      <c r="C72" s="188">
        <v>25.155139859835995</v>
      </c>
      <c r="D72" s="188">
        <v>20.821152497088523</v>
      </c>
      <c r="E72" s="188">
        <v>19.233834483751256</v>
      </c>
      <c r="I72">
        <v>2026</v>
      </c>
      <c r="J72" s="68">
        <f t="shared" si="5"/>
        <v>21.736708946891923</v>
      </c>
      <c r="K72" s="188">
        <v>25.155139859835995</v>
      </c>
      <c r="L72" s="188">
        <v>20.821152497088523</v>
      </c>
      <c r="M72" s="188">
        <v>19.233834483751256</v>
      </c>
      <c r="Q72">
        <v>2026</v>
      </c>
      <c r="R72" s="68">
        <f t="shared" si="6"/>
        <v>21.736708946891923</v>
      </c>
      <c r="S72" s="188">
        <v>25.155139859835995</v>
      </c>
      <c r="T72" s="188">
        <v>20.821152497088523</v>
      </c>
      <c r="U72" s="188">
        <v>19.233834483751256</v>
      </c>
      <c r="Z72">
        <v>2026</v>
      </c>
      <c r="AA72" s="68">
        <f t="shared" si="7"/>
        <v>21.736708946891923</v>
      </c>
      <c r="AB72" s="188">
        <v>25.155139859835995</v>
      </c>
      <c r="AC72" s="188">
        <v>20.821152497088523</v>
      </c>
      <c r="AD72" s="188">
        <v>19.233834483751256</v>
      </c>
    </row>
    <row r="73" spans="1:30" ht="12.75">
      <c r="A73">
        <v>2027</v>
      </c>
      <c r="B73" s="68">
        <f t="shared" si="4"/>
        <v>22.48650496968479</v>
      </c>
      <c r="C73" s="189">
        <v>25.881742216204817</v>
      </c>
      <c r="D73" s="188">
        <v>21.5073368485215</v>
      </c>
      <c r="E73" s="188">
        <v>20.070435844328056</v>
      </c>
      <c r="I73">
        <v>2027</v>
      </c>
      <c r="J73" s="68">
        <f t="shared" si="5"/>
        <v>22.48650496968479</v>
      </c>
      <c r="K73" s="189">
        <v>25.881742216204817</v>
      </c>
      <c r="L73" s="188">
        <v>21.5073368485215</v>
      </c>
      <c r="M73" s="188">
        <v>20.070435844328056</v>
      </c>
      <c r="Q73">
        <v>2027</v>
      </c>
      <c r="R73" s="68">
        <f t="shared" si="6"/>
        <v>22.48650496968479</v>
      </c>
      <c r="S73" s="189">
        <v>25.881742216204817</v>
      </c>
      <c r="T73" s="188">
        <v>21.5073368485215</v>
      </c>
      <c r="U73" s="188">
        <v>20.070435844328056</v>
      </c>
      <c r="Z73">
        <v>2027</v>
      </c>
      <c r="AA73" s="68">
        <f t="shared" si="7"/>
        <v>22.48650496968479</v>
      </c>
      <c r="AB73" s="189">
        <v>25.881742216204817</v>
      </c>
      <c r="AC73" s="188">
        <v>21.5073368485215</v>
      </c>
      <c r="AD73" s="188">
        <v>20.070435844328056</v>
      </c>
    </row>
    <row r="74" spans="1:30" ht="12.75">
      <c r="A74">
        <v>2028</v>
      </c>
      <c r="B74" s="68">
        <f t="shared" si="4"/>
        <v>23.262964614197</v>
      </c>
      <c r="C74" s="189">
        <v>26.629332370185676</v>
      </c>
      <c r="D74" s="188">
        <v>22.216135172174187</v>
      </c>
      <c r="E74" s="188">
        <v>20.943426300231128</v>
      </c>
      <c r="I74">
        <v>2028</v>
      </c>
      <c r="J74" s="68">
        <f t="shared" si="5"/>
        <v>23.262964614197</v>
      </c>
      <c r="K74" s="189">
        <v>26.629332370185676</v>
      </c>
      <c r="L74" s="188">
        <v>22.216135172174187</v>
      </c>
      <c r="M74" s="188">
        <v>20.943426300231128</v>
      </c>
      <c r="Q74">
        <v>2028</v>
      </c>
      <c r="R74" s="68">
        <f t="shared" si="6"/>
        <v>23.262964614197</v>
      </c>
      <c r="S74" s="189">
        <v>26.629332370185676</v>
      </c>
      <c r="T74" s="188">
        <v>22.216135172174187</v>
      </c>
      <c r="U74" s="188">
        <v>20.943426300231128</v>
      </c>
      <c r="Z74">
        <v>2028</v>
      </c>
      <c r="AA74" s="68">
        <f t="shared" si="7"/>
        <v>23.262964614197</v>
      </c>
      <c r="AB74" s="189">
        <v>26.629332370185676</v>
      </c>
      <c r="AC74" s="188">
        <v>22.216135172174187</v>
      </c>
      <c r="AD74" s="188">
        <v>20.943426300231128</v>
      </c>
    </row>
    <row r="77" spans="1:26" ht="18">
      <c r="A77" s="172" t="s">
        <v>776</v>
      </c>
      <c r="I77" s="172" t="s">
        <v>776</v>
      </c>
      <c r="Q77" s="172" t="s">
        <v>776</v>
      </c>
      <c r="Z77" s="172" t="s">
        <v>776</v>
      </c>
    </row>
    <row r="78" spans="1:27" ht="12.75">
      <c r="A78" t="s">
        <v>159</v>
      </c>
      <c r="B78" s="7" t="s">
        <v>777</v>
      </c>
      <c r="I78" t="s">
        <v>159</v>
      </c>
      <c r="J78" s="7" t="s">
        <v>777</v>
      </c>
      <c r="Q78" t="s">
        <v>159</v>
      </c>
      <c r="R78" s="7" t="s">
        <v>777</v>
      </c>
      <c r="Z78" t="s">
        <v>159</v>
      </c>
      <c r="AA78" s="7" t="s">
        <v>777</v>
      </c>
    </row>
    <row r="79" spans="1:27" ht="12.75">
      <c r="A79">
        <v>2009</v>
      </c>
      <c r="B79" s="188">
        <v>6.61166675</v>
      </c>
      <c r="I79">
        <v>2009</v>
      </c>
      <c r="J79" s="188">
        <v>6.61166675</v>
      </c>
      <c r="Q79">
        <v>2009</v>
      </c>
      <c r="R79" s="188">
        <v>6.61166675</v>
      </c>
      <c r="Z79">
        <v>2009</v>
      </c>
      <c r="AA79" s="188">
        <v>6.61166675</v>
      </c>
    </row>
    <row r="80" spans="1:27" ht="12.75">
      <c r="A80">
        <v>2010</v>
      </c>
      <c r="B80" s="188">
        <v>7.4033335</v>
      </c>
      <c r="I80">
        <v>2010</v>
      </c>
      <c r="J80" s="188">
        <v>7.4033335</v>
      </c>
      <c r="Q80">
        <v>2010</v>
      </c>
      <c r="R80" s="188">
        <v>7.4033335</v>
      </c>
      <c r="Z80">
        <v>2010</v>
      </c>
      <c r="AA80" s="188">
        <v>7.4033335</v>
      </c>
    </row>
    <row r="81" spans="1:27" ht="12.75">
      <c r="A81">
        <v>2011</v>
      </c>
      <c r="B81" s="188">
        <v>7.88333275</v>
      </c>
      <c r="I81">
        <v>2011</v>
      </c>
      <c r="J81" s="188">
        <v>7.88333275</v>
      </c>
      <c r="Q81">
        <v>2011</v>
      </c>
      <c r="R81" s="188">
        <v>7.88333275</v>
      </c>
      <c r="Z81">
        <v>2011</v>
      </c>
      <c r="AA81" s="188">
        <v>7.88333275</v>
      </c>
    </row>
    <row r="82" spans="1:27" ht="12.75">
      <c r="A82">
        <v>2012</v>
      </c>
      <c r="B82" s="188">
        <v>8.07583275</v>
      </c>
      <c r="I82">
        <v>2012</v>
      </c>
      <c r="J82" s="188">
        <v>8.07583275</v>
      </c>
      <c r="Q82">
        <v>2012</v>
      </c>
      <c r="R82" s="188">
        <v>8.07583275</v>
      </c>
      <c r="Z82">
        <v>2012</v>
      </c>
      <c r="AA82" s="188">
        <v>8.07583275</v>
      </c>
    </row>
    <row r="83" spans="1:27" ht="12.75">
      <c r="A83">
        <v>2013</v>
      </c>
      <c r="B83" s="188">
        <v>9.0416655</v>
      </c>
      <c r="I83">
        <v>2013</v>
      </c>
      <c r="J83" s="188">
        <v>9.0416655</v>
      </c>
      <c r="Q83">
        <v>2013</v>
      </c>
      <c r="R83" s="188">
        <v>9.0416655</v>
      </c>
      <c r="Z83">
        <v>2013</v>
      </c>
      <c r="AA83" s="188">
        <v>9.0416655</v>
      </c>
    </row>
    <row r="84" spans="1:27" ht="12.75">
      <c r="A84">
        <v>2014</v>
      </c>
      <c r="B84" s="188">
        <v>9.32083125</v>
      </c>
      <c r="I84">
        <v>2014</v>
      </c>
      <c r="J84" s="188">
        <v>9.32083125</v>
      </c>
      <c r="Q84">
        <v>2014</v>
      </c>
      <c r="R84" s="188">
        <v>9.32083125</v>
      </c>
      <c r="Z84">
        <v>2014</v>
      </c>
      <c r="AA84" s="188">
        <v>9.32083125</v>
      </c>
    </row>
    <row r="85" spans="1:27" ht="12.75">
      <c r="A85">
        <v>2015</v>
      </c>
      <c r="B85" s="188">
        <v>9.08416425</v>
      </c>
      <c r="I85">
        <v>2015</v>
      </c>
      <c r="J85" s="188">
        <v>9.08416425</v>
      </c>
      <c r="Q85">
        <v>2015</v>
      </c>
      <c r="R85" s="188">
        <v>9.08416425</v>
      </c>
      <c r="Z85">
        <v>2015</v>
      </c>
      <c r="AA85" s="188">
        <v>9.08416425</v>
      </c>
    </row>
    <row r="86" spans="1:27" ht="12.75">
      <c r="A86">
        <v>2016</v>
      </c>
      <c r="B86" s="188">
        <v>9.15166375</v>
      </c>
      <c r="I86">
        <v>2016</v>
      </c>
      <c r="J86" s="188">
        <v>9.15166375</v>
      </c>
      <c r="Q86">
        <v>2016</v>
      </c>
      <c r="R86" s="188">
        <v>9.15166375</v>
      </c>
      <c r="Z86">
        <v>2016</v>
      </c>
      <c r="AA86" s="188">
        <v>9.15166375</v>
      </c>
    </row>
    <row r="87" spans="1:27" ht="12.75">
      <c r="A87">
        <v>2017</v>
      </c>
      <c r="B87" s="188">
        <v>9.14082875</v>
      </c>
      <c r="I87">
        <v>2017</v>
      </c>
      <c r="J87" s="188">
        <v>9.14082875</v>
      </c>
      <c r="Q87">
        <v>2017</v>
      </c>
      <c r="R87" s="188">
        <v>9.14082875</v>
      </c>
      <c r="Z87">
        <v>2017</v>
      </c>
      <c r="AA87" s="188">
        <v>9.14082875</v>
      </c>
    </row>
    <row r="88" spans="1:27" ht="12.75">
      <c r="A88">
        <v>2018</v>
      </c>
      <c r="B88" s="188">
        <v>9.139159</v>
      </c>
      <c r="I88">
        <v>2018</v>
      </c>
      <c r="J88" s="188">
        <v>9.139159</v>
      </c>
      <c r="Q88">
        <v>2018</v>
      </c>
      <c r="R88" s="188">
        <v>9.139159</v>
      </c>
      <c r="Z88">
        <v>2018</v>
      </c>
      <c r="AA88" s="188">
        <v>9.139159</v>
      </c>
    </row>
    <row r="89" spans="1:27" ht="12.75">
      <c r="A89">
        <v>2019</v>
      </c>
      <c r="B89" s="188">
        <v>9.97043823333334</v>
      </c>
      <c r="I89">
        <v>2019</v>
      </c>
      <c r="J89" s="188">
        <v>9.97043823333334</v>
      </c>
      <c r="Q89">
        <v>2019</v>
      </c>
      <c r="R89" s="188">
        <v>9.97043823333334</v>
      </c>
      <c r="Z89">
        <v>2019</v>
      </c>
      <c r="AA89" s="188">
        <v>9.97043823333334</v>
      </c>
    </row>
    <row r="90" spans="1:27" ht="12.75">
      <c r="A90">
        <v>2020</v>
      </c>
      <c r="B90" s="188">
        <v>10.2404728530303</v>
      </c>
      <c r="I90">
        <v>2020</v>
      </c>
      <c r="J90" s="188">
        <v>10.2404728530303</v>
      </c>
      <c r="Q90">
        <v>2020</v>
      </c>
      <c r="R90" s="188">
        <v>10.2404728530303</v>
      </c>
      <c r="Z90">
        <v>2020</v>
      </c>
      <c r="AA90" s="188">
        <v>10.2404728530303</v>
      </c>
    </row>
    <row r="91" spans="1:27" ht="12.75">
      <c r="A91">
        <v>2021</v>
      </c>
      <c r="B91" s="188">
        <v>10.5105074727273</v>
      </c>
      <c r="I91">
        <v>2021</v>
      </c>
      <c r="J91" s="188">
        <v>10.5105074727273</v>
      </c>
      <c r="Q91">
        <v>2021</v>
      </c>
      <c r="R91" s="188">
        <v>10.5105074727273</v>
      </c>
      <c r="Z91">
        <v>2021</v>
      </c>
      <c r="AA91" s="188">
        <v>10.5105074727273</v>
      </c>
    </row>
    <row r="92" spans="1:27" ht="12.75">
      <c r="A92">
        <v>2022</v>
      </c>
      <c r="B92" s="188">
        <v>10.7805420924242</v>
      </c>
      <c r="I92">
        <v>2022</v>
      </c>
      <c r="J92" s="188">
        <v>10.7805420924242</v>
      </c>
      <c r="Q92">
        <v>2022</v>
      </c>
      <c r="R92" s="188">
        <v>10.7805420924242</v>
      </c>
      <c r="Z92">
        <v>2022</v>
      </c>
      <c r="AA92" s="188">
        <v>10.7805420924242</v>
      </c>
    </row>
    <row r="93" spans="1:27" ht="12.75">
      <c r="A93">
        <v>2023</v>
      </c>
      <c r="B93" s="188">
        <v>11.0505767121212</v>
      </c>
      <c r="I93">
        <v>2023</v>
      </c>
      <c r="J93" s="188">
        <v>11.0505767121212</v>
      </c>
      <c r="Q93">
        <v>2023</v>
      </c>
      <c r="R93" s="188">
        <v>11.0505767121212</v>
      </c>
      <c r="Z93">
        <v>2023</v>
      </c>
      <c r="AA93" s="188">
        <v>11.0505767121212</v>
      </c>
    </row>
    <row r="94" spans="1:27" ht="12.75">
      <c r="A94">
        <v>2024</v>
      </c>
      <c r="B94" s="188">
        <v>11.3206113318182</v>
      </c>
      <c r="I94">
        <v>2024</v>
      </c>
      <c r="J94" s="188">
        <v>11.3206113318182</v>
      </c>
      <c r="Q94">
        <v>2024</v>
      </c>
      <c r="R94" s="188">
        <v>11.3206113318182</v>
      </c>
      <c r="Z94">
        <v>2024</v>
      </c>
      <c r="AA94" s="188">
        <v>11.3206113318182</v>
      </c>
    </row>
    <row r="95" spans="1:27" ht="12.75">
      <c r="A95">
        <v>2025</v>
      </c>
      <c r="B95" s="188">
        <v>11.5906459515151</v>
      </c>
      <c r="I95">
        <v>2025</v>
      </c>
      <c r="J95" s="188">
        <v>11.5906459515151</v>
      </c>
      <c r="Q95">
        <v>2025</v>
      </c>
      <c r="R95" s="188">
        <v>11.5906459515151</v>
      </c>
      <c r="Z95">
        <v>2025</v>
      </c>
      <c r="AA95" s="188">
        <v>11.5906459515151</v>
      </c>
    </row>
    <row r="96" spans="1:27" ht="12.75">
      <c r="A96">
        <v>2026</v>
      </c>
      <c r="B96" s="188">
        <v>11.8606805712121</v>
      </c>
      <c r="I96">
        <v>2026</v>
      </c>
      <c r="J96" s="188">
        <v>11.8606805712121</v>
      </c>
      <c r="Q96">
        <v>2026</v>
      </c>
      <c r="R96" s="188">
        <v>11.8606805712121</v>
      </c>
      <c r="Z96">
        <v>2026</v>
      </c>
      <c r="AA96" s="188">
        <v>11.8606805712121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23"/>
  <sheetViews>
    <sheetView zoomScalePageLayoutView="0" workbookViewId="0" topLeftCell="A1">
      <selection activeCell="A1" sqref="A1:D23"/>
    </sheetView>
  </sheetViews>
  <sheetFormatPr defaultColWidth="9.140625" defaultRowHeight="12.75"/>
  <cols>
    <col min="1" max="1" width="5.140625" style="0" bestFit="1" customWidth="1"/>
    <col min="2" max="2" width="14.28125" style="69" bestFit="1" customWidth="1"/>
  </cols>
  <sheetData>
    <row r="1" spans="1:2" ht="12.75">
      <c r="A1" s="135" t="s">
        <v>159</v>
      </c>
      <c r="B1" s="138" t="s">
        <v>719</v>
      </c>
    </row>
    <row r="2" spans="1:3" ht="12.75">
      <c r="A2" s="135"/>
      <c r="B2" s="138" t="s">
        <v>750</v>
      </c>
      <c r="C2" t="s">
        <v>751</v>
      </c>
    </row>
    <row r="3" spans="1:3" ht="12.75">
      <c r="A3">
        <v>2006</v>
      </c>
      <c r="B3" s="69">
        <v>10.61</v>
      </c>
      <c r="C3" s="69">
        <f aca="true" t="shared" si="0" ref="C3:C23">B3*8760/1000</f>
        <v>92.94359999999999</v>
      </c>
    </row>
    <row r="4" spans="1:4" ht="12.75">
      <c r="A4">
        <v>2007</v>
      </c>
      <c r="B4" s="69">
        <f>B3+D4</f>
        <v>11.2225</v>
      </c>
      <c r="C4" s="69">
        <f t="shared" si="0"/>
        <v>98.3091</v>
      </c>
      <c r="D4">
        <v>0.6125</v>
      </c>
    </row>
    <row r="5" spans="1:3" ht="12.75">
      <c r="A5">
        <v>2008</v>
      </c>
      <c r="B5" s="69">
        <f>B4+D4</f>
        <v>11.835</v>
      </c>
      <c r="C5" s="69">
        <f t="shared" si="0"/>
        <v>103.67460000000001</v>
      </c>
    </row>
    <row r="6" spans="1:3" ht="12.75">
      <c r="A6">
        <v>2009</v>
      </c>
      <c r="B6" s="69">
        <f>B5+D4</f>
        <v>12.447500000000002</v>
      </c>
      <c r="C6" s="69">
        <f t="shared" si="0"/>
        <v>109.04010000000002</v>
      </c>
    </row>
    <row r="7" spans="1:3" ht="12.75">
      <c r="A7">
        <v>2010</v>
      </c>
      <c r="B7" s="69">
        <v>13.06</v>
      </c>
      <c r="C7" s="69">
        <f t="shared" si="0"/>
        <v>114.4056</v>
      </c>
    </row>
    <row r="8" spans="1:4" ht="12.75">
      <c r="A8">
        <v>2011</v>
      </c>
      <c r="B8" s="69">
        <f>B7+D8</f>
        <v>13.266</v>
      </c>
      <c r="C8" s="69">
        <f t="shared" si="0"/>
        <v>116.21016</v>
      </c>
      <c r="D8">
        <v>0.206</v>
      </c>
    </row>
    <row r="9" spans="1:3" ht="12.75">
      <c r="A9">
        <v>2012</v>
      </c>
      <c r="B9" s="69">
        <f>B8+D8</f>
        <v>13.472</v>
      </c>
      <c r="C9" s="69">
        <f t="shared" si="0"/>
        <v>118.01472</v>
      </c>
    </row>
    <row r="10" spans="1:3" ht="12.75">
      <c r="A10">
        <v>2013</v>
      </c>
      <c r="B10" s="69">
        <f>B9+D8</f>
        <v>13.677999999999999</v>
      </c>
      <c r="C10" s="69">
        <f t="shared" si="0"/>
        <v>119.81927999999999</v>
      </c>
    </row>
    <row r="11" spans="1:3" ht="12.75">
      <c r="A11">
        <v>2014</v>
      </c>
      <c r="B11" s="69">
        <f>B10+D8</f>
        <v>13.883999999999999</v>
      </c>
      <c r="C11" s="69">
        <f t="shared" si="0"/>
        <v>121.62383999999999</v>
      </c>
    </row>
    <row r="12" spans="1:3" ht="12.75">
      <c r="A12">
        <v>2015</v>
      </c>
      <c r="B12" s="69">
        <v>14.09</v>
      </c>
      <c r="C12" s="69">
        <f t="shared" si="0"/>
        <v>123.4284</v>
      </c>
    </row>
    <row r="13" spans="1:4" ht="12.75">
      <c r="A13">
        <v>2016</v>
      </c>
      <c r="B13" s="69">
        <f>B12+D13</f>
        <v>15.03</v>
      </c>
      <c r="C13" s="69">
        <f t="shared" si="0"/>
        <v>131.66279999999998</v>
      </c>
      <c r="D13">
        <v>0.94</v>
      </c>
    </row>
    <row r="14" spans="1:3" ht="12.75">
      <c r="A14">
        <v>2017</v>
      </c>
      <c r="B14" s="69">
        <f>B13+D13</f>
        <v>15.969999999999999</v>
      </c>
      <c r="C14" s="69">
        <f t="shared" si="0"/>
        <v>139.89719999999997</v>
      </c>
    </row>
    <row r="15" spans="1:3" ht="12.75">
      <c r="A15">
        <v>2018</v>
      </c>
      <c r="B15" s="69">
        <f>B14+D13</f>
        <v>16.91</v>
      </c>
      <c r="C15" s="69">
        <f t="shared" si="0"/>
        <v>148.1316</v>
      </c>
    </row>
    <row r="16" spans="1:3" ht="12.75">
      <c r="A16">
        <v>2019</v>
      </c>
      <c r="B16" s="69">
        <f>B15+D13</f>
        <v>17.85</v>
      </c>
      <c r="C16" s="69">
        <f t="shared" si="0"/>
        <v>156.366</v>
      </c>
    </row>
    <row r="17" spans="1:3" ht="12.75">
      <c r="A17">
        <v>2020</v>
      </c>
      <c r="B17" s="69">
        <v>18.79</v>
      </c>
      <c r="C17" s="69">
        <f t="shared" si="0"/>
        <v>164.6004</v>
      </c>
    </row>
    <row r="18" spans="1:3" ht="12.75">
      <c r="A18">
        <v>2021</v>
      </c>
      <c r="B18" s="69">
        <f>B17+D13</f>
        <v>19.73</v>
      </c>
      <c r="C18" s="69">
        <f t="shared" si="0"/>
        <v>172.83480000000003</v>
      </c>
    </row>
    <row r="19" spans="1:3" ht="12.75">
      <c r="A19">
        <v>2022</v>
      </c>
      <c r="B19" s="69">
        <f>B18+D13</f>
        <v>20.67</v>
      </c>
      <c r="C19" s="69">
        <f t="shared" si="0"/>
        <v>181.06920000000002</v>
      </c>
    </row>
    <row r="20" spans="1:3" ht="12.75">
      <c r="A20">
        <v>2023</v>
      </c>
      <c r="B20" s="69">
        <f>B19+D13</f>
        <v>21.610000000000003</v>
      </c>
      <c r="C20" s="69">
        <f t="shared" si="0"/>
        <v>189.30360000000005</v>
      </c>
    </row>
    <row r="21" spans="1:3" ht="12.75">
      <c r="A21">
        <v>2024</v>
      </c>
      <c r="B21" s="69">
        <f>B20+D13</f>
        <v>22.550000000000004</v>
      </c>
      <c r="C21" s="69">
        <f t="shared" si="0"/>
        <v>197.53800000000004</v>
      </c>
    </row>
    <row r="22" spans="1:3" ht="12.75">
      <c r="A22">
        <v>2025</v>
      </c>
      <c r="B22" s="69">
        <f>B21+D13</f>
        <v>23.490000000000006</v>
      </c>
      <c r="C22" s="69">
        <f t="shared" si="0"/>
        <v>205.77240000000006</v>
      </c>
    </row>
    <row r="23" spans="1:3" ht="12.75">
      <c r="A23">
        <v>2026</v>
      </c>
      <c r="B23" s="69">
        <f>B22+D13</f>
        <v>24.430000000000007</v>
      </c>
      <c r="C23" s="69">
        <f t="shared" si="0"/>
        <v>214.00680000000006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R186"/>
  <sheetViews>
    <sheetView zoomScale="85" zoomScaleNormal="85" zoomScalePageLayoutView="0" workbookViewId="0" topLeftCell="L91">
      <selection activeCell="K4" sqref="K1:K16384"/>
    </sheetView>
  </sheetViews>
  <sheetFormatPr defaultColWidth="9.140625" defaultRowHeight="12.75"/>
  <cols>
    <col min="1" max="1" width="19.7109375" style="7" customWidth="1"/>
    <col min="2" max="2" width="19.00390625" style="7" customWidth="1"/>
    <col min="3" max="3" width="11.8515625" style="7" customWidth="1"/>
    <col min="4" max="4" width="9.140625" style="7" customWidth="1"/>
    <col min="5" max="5" width="18.00390625" style="7" customWidth="1"/>
    <col min="6" max="6" width="33.57421875" style="7" customWidth="1"/>
    <col min="7" max="7" width="9.140625" style="7" customWidth="1"/>
    <col min="8" max="8" width="29.8515625" style="7" customWidth="1"/>
    <col min="9" max="9" width="21.00390625" style="7" customWidth="1"/>
    <col min="10" max="10" width="13.421875" style="7" customWidth="1"/>
    <col min="11" max="11" width="11.28125" style="88" customWidth="1"/>
    <col min="12" max="16" width="9.140625" style="88" customWidth="1"/>
    <col min="17" max="17" width="20.421875" style="7" customWidth="1"/>
    <col min="18" max="18" width="17.140625" style="7" customWidth="1"/>
    <col min="19" max="33" width="9.140625" style="7" customWidth="1"/>
  </cols>
  <sheetData>
    <row r="1" spans="2:18" ht="23.25" customHeight="1">
      <c r="B1" s="262" t="s">
        <v>441</v>
      </c>
      <c r="C1" s="262"/>
      <c r="D1" s="262"/>
      <c r="E1" s="262"/>
      <c r="F1" s="262"/>
      <c r="G1" s="262"/>
      <c r="H1" s="262"/>
      <c r="I1" s="257" t="s">
        <v>442</v>
      </c>
      <c r="J1" s="263"/>
      <c r="K1" s="263"/>
      <c r="L1" s="263"/>
      <c r="M1" s="263"/>
      <c r="N1" s="263"/>
      <c r="O1" s="263"/>
      <c r="P1" s="264"/>
      <c r="Q1" s="257" t="s">
        <v>456</v>
      </c>
      <c r="R1" s="258"/>
    </row>
    <row r="2" spans="1:18" ht="18">
      <c r="A2" s="259" t="s">
        <v>231</v>
      </c>
      <c r="B2" s="259"/>
      <c r="C2" s="259"/>
      <c r="D2" s="259"/>
      <c r="E2" s="259"/>
      <c r="F2" s="259"/>
      <c r="G2" s="259"/>
      <c r="H2" s="259"/>
      <c r="I2" s="251" t="s">
        <v>231</v>
      </c>
      <c r="J2" s="253"/>
      <c r="K2" s="253"/>
      <c r="L2" s="253"/>
      <c r="M2" s="253"/>
      <c r="N2" s="253"/>
      <c r="O2" s="253"/>
      <c r="P2" s="252"/>
      <c r="Q2" s="251" t="s">
        <v>231</v>
      </c>
      <c r="R2" s="252"/>
    </row>
    <row r="3" spans="1:18" ht="18">
      <c r="A3" s="84"/>
      <c r="B3" s="84"/>
      <c r="C3" s="84"/>
      <c r="D3" s="84"/>
      <c r="E3" s="84"/>
      <c r="F3" s="84"/>
      <c r="G3" s="84"/>
      <c r="H3" s="84"/>
      <c r="I3" s="93"/>
      <c r="J3" s="76"/>
      <c r="K3" s="254" t="s">
        <v>195</v>
      </c>
      <c r="L3" s="254"/>
      <c r="M3" s="254"/>
      <c r="N3" s="254"/>
      <c r="O3" s="255" t="s">
        <v>443</v>
      </c>
      <c r="P3" s="256"/>
      <c r="Q3" s="251"/>
      <c r="R3" s="252"/>
    </row>
    <row r="4" spans="1:18" ht="26.25" thickBot="1">
      <c r="A4" s="7" t="s">
        <v>233</v>
      </c>
      <c r="B4" s="7" t="s">
        <v>234</v>
      </c>
      <c r="E4" s="7" t="s">
        <v>230</v>
      </c>
      <c r="H4" s="7" t="s">
        <v>242</v>
      </c>
      <c r="I4" s="93" t="s">
        <v>233</v>
      </c>
      <c r="J4" s="76" t="s">
        <v>409</v>
      </c>
      <c r="K4" s="90" t="s">
        <v>410</v>
      </c>
      <c r="L4" s="90" t="s">
        <v>178</v>
      </c>
      <c r="M4" s="90" t="s">
        <v>411</v>
      </c>
      <c r="N4" s="90" t="s">
        <v>412</v>
      </c>
      <c r="O4" s="89" t="s">
        <v>205</v>
      </c>
      <c r="P4" s="100" t="s">
        <v>206</v>
      </c>
      <c r="Q4" s="95" t="s">
        <v>233</v>
      </c>
      <c r="R4" s="109" t="s">
        <v>456</v>
      </c>
    </row>
    <row r="5" spans="1:18" ht="38.25">
      <c r="A5" s="260" t="s">
        <v>232</v>
      </c>
      <c r="B5" s="74" t="s">
        <v>249</v>
      </c>
      <c r="C5" s="75"/>
      <c r="D5" s="74"/>
      <c r="E5" s="74" t="s">
        <v>240</v>
      </c>
      <c r="F5" s="74" t="e">
        <f>$C$5/1000*(1/13-(1/$C$6*(1-0.029)))*600</f>
        <v>#DIV/0!</v>
      </c>
      <c r="G5" s="74"/>
      <c r="H5" s="74" t="s">
        <v>259</v>
      </c>
      <c r="I5" s="94" t="s">
        <v>413</v>
      </c>
      <c r="J5" s="74" t="s">
        <v>414</v>
      </c>
      <c r="K5" s="91">
        <v>0.649</v>
      </c>
      <c r="L5" s="91">
        <v>0.351</v>
      </c>
      <c r="M5" s="91">
        <v>0</v>
      </c>
      <c r="N5" s="91">
        <v>0</v>
      </c>
      <c r="O5" s="85"/>
      <c r="P5" s="101"/>
      <c r="Q5" s="93" t="s">
        <v>413</v>
      </c>
      <c r="R5" s="104">
        <v>15</v>
      </c>
    </row>
    <row r="6" spans="1:18" ht="25.5">
      <c r="A6" s="265"/>
      <c r="B6" s="76" t="s">
        <v>235</v>
      </c>
      <c r="C6" s="72"/>
      <c r="D6" s="76"/>
      <c r="E6" s="76" t="s">
        <v>243</v>
      </c>
      <c r="F6" s="76" t="e">
        <f>$C$5/1000*(1/11.3-(1/$C$6*(1-0.029)))*0.7</f>
        <v>#DIV/0!</v>
      </c>
      <c r="G6" s="76"/>
      <c r="H6" s="76"/>
      <c r="I6" s="93" t="s">
        <v>415</v>
      </c>
      <c r="J6" s="76" t="s">
        <v>414</v>
      </c>
      <c r="K6" s="90">
        <v>0.598</v>
      </c>
      <c r="L6" s="90">
        <v>0.402</v>
      </c>
      <c r="M6" s="90">
        <v>0</v>
      </c>
      <c r="N6" s="90">
        <v>0</v>
      </c>
      <c r="O6" s="89"/>
      <c r="P6" s="100"/>
      <c r="Q6" s="93" t="s">
        <v>415</v>
      </c>
      <c r="R6" s="104">
        <v>15</v>
      </c>
    </row>
    <row r="7" spans="1:18" ht="25.5">
      <c r="A7" s="265"/>
      <c r="B7" s="76" t="s">
        <v>237</v>
      </c>
      <c r="C7" s="72"/>
      <c r="D7" s="76"/>
      <c r="E7" s="76" t="s">
        <v>241</v>
      </c>
      <c r="F7" s="76" t="e">
        <f>$C$6/1000*(1/7.7-(1/$C$7*(1-0.029)))*2250</f>
        <v>#DIV/0!</v>
      </c>
      <c r="G7" s="76"/>
      <c r="H7" s="76"/>
      <c r="I7" s="93" t="s">
        <v>415</v>
      </c>
      <c r="J7" s="76" t="s">
        <v>416</v>
      </c>
      <c r="K7" s="90">
        <v>0</v>
      </c>
      <c r="L7" s="90">
        <v>0</v>
      </c>
      <c r="M7" s="90">
        <v>0.479</v>
      </c>
      <c r="N7" s="90">
        <v>0.521</v>
      </c>
      <c r="O7" s="89"/>
      <c r="P7" s="100"/>
      <c r="Q7" s="93"/>
      <c r="R7" s="104"/>
    </row>
    <row r="8" spans="1:18" ht="39" thickBot="1">
      <c r="A8" s="261"/>
      <c r="B8" s="77" t="s">
        <v>238</v>
      </c>
      <c r="C8" s="78"/>
      <c r="D8" s="77"/>
      <c r="E8" s="77"/>
      <c r="F8" s="77"/>
      <c r="G8" s="77"/>
      <c r="H8" s="77"/>
      <c r="I8" s="95"/>
      <c r="J8" s="77"/>
      <c r="K8" s="86"/>
      <c r="L8" s="86"/>
      <c r="M8" s="86"/>
      <c r="N8" s="86"/>
      <c r="O8" s="87"/>
      <c r="P8" s="102"/>
      <c r="Q8" s="93"/>
      <c r="R8" s="104"/>
    </row>
    <row r="9" spans="1:18" ht="25.5">
      <c r="A9" s="260" t="s">
        <v>244</v>
      </c>
      <c r="B9" s="74" t="s">
        <v>245</v>
      </c>
      <c r="C9" s="75"/>
      <c r="D9" s="74"/>
      <c r="E9" s="74" t="s">
        <v>248</v>
      </c>
      <c r="F9" s="74" t="e">
        <f>$C$5/1000*(1/13-(1/$C$9*$C$10))*600</f>
        <v>#DIV/0!</v>
      </c>
      <c r="G9" s="74"/>
      <c r="H9" s="74"/>
      <c r="I9" s="93" t="s">
        <v>244</v>
      </c>
      <c r="J9" s="76" t="s">
        <v>414</v>
      </c>
      <c r="K9" s="90">
        <v>0.517</v>
      </c>
      <c r="L9" s="90">
        <v>0.483</v>
      </c>
      <c r="M9" s="90">
        <v>0</v>
      </c>
      <c r="N9" s="90">
        <v>0</v>
      </c>
      <c r="O9" s="89"/>
      <c r="P9" s="100"/>
      <c r="Q9" s="94" t="s">
        <v>244</v>
      </c>
      <c r="R9" s="110">
        <v>30</v>
      </c>
    </row>
    <row r="10" spans="1:18" ht="25.5">
      <c r="A10" s="265"/>
      <c r="B10" s="76" t="s">
        <v>246</v>
      </c>
      <c r="C10" s="72"/>
      <c r="D10" s="76"/>
      <c r="E10" s="76" t="s">
        <v>250</v>
      </c>
      <c r="F10" s="76" t="e">
        <f>$C$6/1000*(1/7.7-(1/$C$11*$C$12))*2250</f>
        <v>#DIV/0!</v>
      </c>
      <c r="G10" s="76"/>
      <c r="H10" s="76"/>
      <c r="I10" s="93" t="s">
        <v>244</v>
      </c>
      <c r="J10" s="76" t="s">
        <v>416</v>
      </c>
      <c r="K10" s="90">
        <v>0</v>
      </c>
      <c r="L10" s="90">
        <v>0</v>
      </c>
      <c r="M10" s="90">
        <v>0.479</v>
      </c>
      <c r="N10" s="90">
        <v>0.521</v>
      </c>
      <c r="O10" s="89"/>
      <c r="P10" s="100"/>
      <c r="Q10" s="93"/>
      <c r="R10" s="104"/>
    </row>
    <row r="11" spans="1:18" ht="25.5">
      <c r="A11" s="265"/>
      <c r="B11" s="76" t="s">
        <v>239</v>
      </c>
      <c r="C11" s="72"/>
      <c r="D11" s="76"/>
      <c r="E11" s="76"/>
      <c r="F11" s="76"/>
      <c r="G11" s="76"/>
      <c r="H11" s="76"/>
      <c r="I11" s="93" t="s">
        <v>244</v>
      </c>
      <c r="J11" s="76" t="s">
        <v>417</v>
      </c>
      <c r="K11" s="90">
        <v>0.045</v>
      </c>
      <c r="L11" s="90">
        <v>0.042</v>
      </c>
      <c r="M11" s="90">
        <v>0.437</v>
      </c>
      <c r="N11" s="90">
        <v>0.476</v>
      </c>
      <c r="O11" s="89"/>
      <c r="P11" s="100"/>
      <c r="Q11" s="93"/>
      <c r="R11" s="104"/>
    </row>
    <row r="12" spans="1:18" ht="13.5" thickBot="1">
      <c r="A12" s="261"/>
      <c r="B12" s="77" t="s">
        <v>247</v>
      </c>
      <c r="C12" s="78"/>
      <c r="D12" s="77"/>
      <c r="E12" s="77"/>
      <c r="F12" s="77"/>
      <c r="G12" s="77"/>
      <c r="H12" s="77"/>
      <c r="I12" s="93"/>
      <c r="J12" s="76"/>
      <c r="K12" s="90"/>
      <c r="L12" s="90"/>
      <c r="M12" s="90"/>
      <c r="N12" s="90"/>
      <c r="O12" s="89"/>
      <c r="P12" s="100"/>
      <c r="Q12" s="95"/>
      <c r="R12" s="109"/>
    </row>
    <row r="13" spans="9:18" ht="12.75">
      <c r="I13" s="94"/>
      <c r="J13" s="74"/>
      <c r="K13" s="91"/>
      <c r="L13" s="91"/>
      <c r="M13" s="91"/>
      <c r="N13" s="91"/>
      <c r="O13" s="85"/>
      <c r="P13" s="101"/>
      <c r="Q13" s="93"/>
      <c r="R13" s="104"/>
    </row>
    <row r="14" spans="9:18" ht="12.75">
      <c r="I14" s="93"/>
      <c r="J14" s="76"/>
      <c r="K14" s="90"/>
      <c r="L14" s="90"/>
      <c r="M14" s="90"/>
      <c r="N14" s="90"/>
      <c r="O14" s="89"/>
      <c r="P14" s="100"/>
      <c r="Q14" s="93"/>
      <c r="R14" s="104"/>
    </row>
    <row r="15" spans="1:18" ht="18">
      <c r="A15" s="259" t="s">
        <v>251</v>
      </c>
      <c r="B15" s="259"/>
      <c r="C15" s="259"/>
      <c r="D15" s="259"/>
      <c r="E15" s="259"/>
      <c r="F15" s="259"/>
      <c r="G15" s="259"/>
      <c r="H15" s="259"/>
      <c r="I15" s="251" t="s">
        <v>251</v>
      </c>
      <c r="J15" s="253"/>
      <c r="K15" s="253"/>
      <c r="L15" s="253"/>
      <c r="M15" s="253"/>
      <c r="N15" s="253"/>
      <c r="O15" s="253"/>
      <c r="P15" s="252"/>
      <c r="Q15" s="251" t="s">
        <v>251</v>
      </c>
      <c r="R15" s="252"/>
    </row>
    <row r="16" spans="1:18" ht="18">
      <c r="A16" s="84"/>
      <c r="B16" s="84"/>
      <c r="C16" s="84"/>
      <c r="D16" s="84"/>
      <c r="E16" s="84"/>
      <c r="F16" s="84"/>
      <c r="G16" s="84"/>
      <c r="H16" s="84"/>
      <c r="I16" s="93"/>
      <c r="J16" s="76"/>
      <c r="K16" s="254" t="s">
        <v>195</v>
      </c>
      <c r="L16" s="254"/>
      <c r="M16" s="254"/>
      <c r="N16" s="254"/>
      <c r="O16" s="255" t="s">
        <v>443</v>
      </c>
      <c r="P16" s="256"/>
      <c r="Q16" s="251"/>
      <c r="R16" s="252"/>
    </row>
    <row r="17" spans="1:18" ht="26.25" thickBot="1">
      <c r="A17" s="7" t="s">
        <v>233</v>
      </c>
      <c r="B17" s="7" t="s">
        <v>234</v>
      </c>
      <c r="E17" s="7" t="s">
        <v>230</v>
      </c>
      <c r="H17" s="7" t="s">
        <v>242</v>
      </c>
      <c r="I17" s="95" t="s">
        <v>233</v>
      </c>
      <c r="J17" s="77" t="s">
        <v>409</v>
      </c>
      <c r="K17" s="86" t="s">
        <v>410</v>
      </c>
      <c r="L17" s="86" t="s">
        <v>178</v>
      </c>
      <c r="M17" s="86" t="s">
        <v>411</v>
      </c>
      <c r="N17" s="86" t="s">
        <v>412</v>
      </c>
      <c r="O17" s="87" t="s">
        <v>205</v>
      </c>
      <c r="P17" s="102" t="s">
        <v>206</v>
      </c>
      <c r="Q17" s="95" t="s">
        <v>233</v>
      </c>
      <c r="R17" s="109" t="s">
        <v>456</v>
      </c>
    </row>
    <row r="18" spans="1:18" ht="25.5">
      <c r="A18" s="260" t="s">
        <v>252</v>
      </c>
      <c r="B18" s="74" t="s">
        <v>254</v>
      </c>
      <c r="C18" s="75"/>
      <c r="D18" s="74"/>
      <c r="E18" s="74" t="s">
        <v>253</v>
      </c>
      <c r="F18" s="74" t="e">
        <f>$C$18/80000*(($C$19-0.815)/$C$19)*651</f>
        <v>#DIV/0!</v>
      </c>
      <c r="G18" s="74"/>
      <c r="H18" s="74" t="s">
        <v>261</v>
      </c>
      <c r="I18" s="93" t="s">
        <v>252</v>
      </c>
      <c r="J18" s="76" t="s">
        <v>416</v>
      </c>
      <c r="K18" s="90"/>
      <c r="L18" s="90"/>
      <c r="M18" s="90"/>
      <c r="N18" s="90"/>
      <c r="O18" s="89">
        <v>0.12</v>
      </c>
      <c r="P18" s="100">
        <v>0.88</v>
      </c>
      <c r="Q18" s="93" t="s">
        <v>252</v>
      </c>
      <c r="R18" s="104">
        <v>20</v>
      </c>
    </row>
    <row r="19" spans="1:18" ht="26.25" thickBot="1">
      <c r="A19" s="261"/>
      <c r="B19" s="77" t="s">
        <v>255</v>
      </c>
      <c r="C19" s="78"/>
      <c r="D19" s="77"/>
      <c r="E19" s="77"/>
      <c r="F19" s="77"/>
      <c r="G19" s="77"/>
      <c r="H19" s="77"/>
      <c r="I19" s="93"/>
      <c r="J19" s="76"/>
      <c r="K19" s="90"/>
      <c r="L19" s="90"/>
      <c r="M19" s="90"/>
      <c r="N19" s="90"/>
      <c r="O19" s="89"/>
      <c r="P19" s="100"/>
      <c r="Q19" s="93"/>
      <c r="R19" s="104"/>
    </row>
    <row r="20" spans="1:18" ht="25.5">
      <c r="A20" s="260" t="s">
        <v>256</v>
      </c>
      <c r="B20" s="74" t="s">
        <v>257</v>
      </c>
      <c r="C20" s="75"/>
      <c r="D20" s="74"/>
      <c r="E20" s="74" t="s">
        <v>253</v>
      </c>
      <c r="F20" s="74" t="e">
        <f>(($C$20-(0.67-(0.0019*$C$21)))/$C$20)*212</f>
        <v>#DIV/0!</v>
      </c>
      <c r="G20" s="74"/>
      <c r="H20" s="74" t="s">
        <v>260</v>
      </c>
      <c r="I20" s="94" t="s">
        <v>256</v>
      </c>
      <c r="J20" s="74" t="s">
        <v>416</v>
      </c>
      <c r="K20" s="91"/>
      <c r="L20" s="91"/>
      <c r="M20" s="91"/>
      <c r="N20" s="91"/>
      <c r="O20" s="85">
        <v>0.5</v>
      </c>
      <c r="P20" s="101">
        <v>0.5</v>
      </c>
      <c r="Q20" s="94" t="s">
        <v>256</v>
      </c>
      <c r="R20" s="110">
        <v>20</v>
      </c>
    </row>
    <row r="21" spans="1:18" ht="12.75">
      <c r="A21" s="265"/>
      <c r="B21" s="76" t="s">
        <v>258</v>
      </c>
      <c r="C21" s="72"/>
      <c r="D21" s="76"/>
      <c r="E21" s="76"/>
      <c r="F21" s="76"/>
      <c r="G21" s="76"/>
      <c r="H21" s="76" t="s">
        <v>262</v>
      </c>
      <c r="I21" s="93"/>
      <c r="J21" s="76"/>
      <c r="K21" s="90"/>
      <c r="L21" s="90"/>
      <c r="M21" s="90"/>
      <c r="N21" s="90"/>
      <c r="O21" s="89"/>
      <c r="P21" s="100"/>
      <c r="Q21" s="93"/>
      <c r="R21" s="104"/>
    </row>
    <row r="22" spans="1:18" ht="13.5" thickBot="1">
      <c r="A22" s="261"/>
      <c r="B22" s="77"/>
      <c r="C22" s="77"/>
      <c r="D22" s="77"/>
      <c r="E22" s="77"/>
      <c r="F22" s="77"/>
      <c r="G22" s="77"/>
      <c r="H22" s="77"/>
      <c r="I22" s="95"/>
      <c r="J22" s="77"/>
      <c r="K22" s="86"/>
      <c r="L22" s="86"/>
      <c r="M22" s="86"/>
      <c r="N22" s="86"/>
      <c r="O22" s="87"/>
      <c r="P22" s="102"/>
      <c r="Q22" s="95"/>
      <c r="R22" s="109"/>
    </row>
    <row r="23" spans="9:18" ht="12.75">
      <c r="I23" s="93"/>
      <c r="J23" s="76"/>
      <c r="K23" s="90"/>
      <c r="L23" s="90"/>
      <c r="M23" s="90"/>
      <c r="N23" s="90"/>
      <c r="O23" s="89"/>
      <c r="P23" s="100"/>
      <c r="Q23" s="93"/>
      <c r="R23" s="104"/>
    </row>
    <row r="24" spans="9:18" ht="12.75">
      <c r="I24" s="93"/>
      <c r="J24" s="76"/>
      <c r="K24" s="90"/>
      <c r="L24" s="90"/>
      <c r="M24" s="90"/>
      <c r="N24" s="90"/>
      <c r="O24" s="89"/>
      <c r="P24" s="100"/>
      <c r="Q24" s="93"/>
      <c r="R24" s="104"/>
    </row>
    <row r="25" spans="1:18" ht="18" customHeight="1">
      <c r="A25" s="259" t="s">
        <v>264</v>
      </c>
      <c r="B25" s="259"/>
      <c r="C25" s="259"/>
      <c r="D25" s="259"/>
      <c r="E25" s="259"/>
      <c r="F25" s="259"/>
      <c r="G25" s="259"/>
      <c r="H25" s="259"/>
      <c r="I25" s="251" t="s">
        <v>264</v>
      </c>
      <c r="J25" s="253"/>
      <c r="K25" s="253"/>
      <c r="L25" s="253"/>
      <c r="M25" s="253"/>
      <c r="N25" s="253"/>
      <c r="O25" s="253"/>
      <c r="P25" s="252"/>
      <c r="Q25" s="251" t="s">
        <v>459</v>
      </c>
      <c r="R25" s="252"/>
    </row>
    <row r="26" spans="1:18" ht="18">
      <c r="A26" s="84"/>
      <c r="B26" s="84"/>
      <c r="C26" s="84"/>
      <c r="D26" s="84"/>
      <c r="E26" s="84"/>
      <c r="F26" s="84"/>
      <c r="G26" s="84"/>
      <c r="H26" s="84"/>
      <c r="I26" s="93"/>
      <c r="J26" s="76"/>
      <c r="K26" s="254" t="s">
        <v>195</v>
      </c>
      <c r="L26" s="254"/>
      <c r="M26" s="254"/>
      <c r="N26" s="254"/>
      <c r="O26" s="255" t="s">
        <v>443</v>
      </c>
      <c r="P26" s="256"/>
      <c r="Q26" s="251"/>
      <c r="R26" s="252"/>
    </row>
    <row r="27" spans="1:18" ht="26.25" thickBot="1">
      <c r="A27" s="7" t="s">
        <v>233</v>
      </c>
      <c r="B27" s="7" t="s">
        <v>234</v>
      </c>
      <c r="E27" s="7" t="s">
        <v>230</v>
      </c>
      <c r="H27" s="7" t="s">
        <v>242</v>
      </c>
      <c r="I27" s="95" t="s">
        <v>233</v>
      </c>
      <c r="J27" s="77" t="s">
        <v>409</v>
      </c>
      <c r="K27" s="86" t="s">
        <v>410</v>
      </c>
      <c r="L27" s="86" t="s">
        <v>178</v>
      </c>
      <c r="M27" s="86" t="s">
        <v>411</v>
      </c>
      <c r="N27" s="86" t="s">
        <v>412</v>
      </c>
      <c r="O27" s="87" t="s">
        <v>205</v>
      </c>
      <c r="P27" s="102" t="s">
        <v>206</v>
      </c>
      <c r="Q27" s="95" t="s">
        <v>233</v>
      </c>
      <c r="R27" s="109" t="s">
        <v>456</v>
      </c>
    </row>
    <row r="28" spans="1:18" ht="12.75">
      <c r="A28" s="260" t="s">
        <v>420</v>
      </c>
      <c r="B28" s="74"/>
      <c r="C28" s="74"/>
      <c r="D28" s="74"/>
      <c r="E28" s="74" t="s">
        <v>265</v>
      </c>
      <c r="F28" s="74">
        <f>2.2395</f>
        <v>2.2395</v>
      </c>
      <c r="G28" s="74"/>
      <c r="H28" s="74"/>
      <c r="I28" s="94" t="s">
        <v>420</v>
      </c>
      <c r="J28" s="74"/>
      <c r="K28" s="91">
        <v>0.1</v>
      </c>
      <c r="L28" s="91">
        <v>0.07</v>
      </c>
      <c r="M28" s="91">
        <v>0.4</v>
      </c>
      <c r="N28" s="91">
        <v>0.44</v>
      </c>
      <c r="O28" s="85"/>
      <c r="P28" s="101"/>
      <c r="Q28" s="94" t="s">
        <v>420</v>
      </c>
      <c r="R28" s="104">
        <v>20</v>
      </c>
    </row>
    <row r="29" spans="1:18" ht="13.5" thickBot="1">
      <c r="A29" s="261"/>
      <c r="B29" s="77"/>
      <c r="C29" s="77"/>
      <c r="D29" s="77"/>
      <c r="E29" s="77" t="s">
        <v>301</v>
      </c>
      <c r="F29" s="77">
        <f>0.000602*0.75</f>
        <v>0.00045149999999999997</v>
      </c>
      <c r="G29" s="77"/>
      <c r="H29" s="77"/>
      <c r="I29" s="95"/>
      <c r="J29" s="77"/>
      <c r="K29" s="86"/>
      <c r="L29" s="86"/>
      <c r="M29" s="86"/>
      <c r="N29" s="86"/>
      <c r="O29" s="87"/>
      <c r="P29" s="102"/>
      <c r="Q29" s="95"/>
      <c r="R29" s="104"/>
    </row>
    <row r="30" spans="1:18" ht="12.75">
      <c r="A30" s="260" t="s">
        <v>423</v>
      </c>
      <c r="B30" s="74"/>
      <c r="C30" s="74"/>
      <c r="D30" s="74"/>
      <c r="E30" s="74" t="s">
        <v>265</v>
      </c>
      <c r="F30" s="74">
        <f>0.2462</f>
        <v>0.2462</v>
      </c>
      <c r="G30" s="74"/>
      <c r="H30" s="74"/>
      <c r="I30" s="93" t="s">
        <v>444</v>
      </c>
      <c r="J30" s="76" t="s">
        <v>418</v>
      </c>
      <c r="K30" s="90">
        <v>0.65</v>
      </c>
      <c r="L30" s="90">
        <v>0.35</v>
      </c>
      <c r="M30" s="90">
        <v>0</v>
      </c>
      <c r="N30" s="90">
        <v>0</v>
      </c>
      <c r="O30" s="89">
        <v>0.12</v>
      </c>
      <c r="P30" s="100">
        <v>0.88</v>
      </c>
      <c r="Q30" s="93" t="s">
        <v>444</v>
      </c>
      <c r="R30" s="110">
        <v>20</v>
      </c>
    </row>
    <row r="31" spans="1:18" ht="12.75">
      <c r="A31" s="265"/>
      <c r="B31" s="76"/>
      <c r="C31" s="76"/>
      <c r="D31" s="76"/>
      <c r="E31" s="76" t="s">
        <v>301</v>
      </c>
      <c r="F31" s="76">
        <f>0.000602*0.75</f>
        <v>0.00045149999999999997</v>
      </c>
      <c r="G31" s="76"/>
      <c r="H31" s="76"/>
      <c r="I31" s="93"/>
      <c r="J31" s="76"/>
      <c r="K31" s="90"/>
      <c r="L31" s="90"/>
      <c r="M31" s="90"/>
      <c r="N31" s="90"/>
      <c r="O31" s="89"/>
      <c r="P31" s="100"/>
      <c r="Q31" s="93"/>
      <c r="R31" s="104"/>
    </row>
    <row r="32" spans="1:18" ht="13.5" thickBot="1">
      <c r="A32" s="261"/>
      <c r="B32" s="77"/>
      <c r="C32" s="77"/>
      <c r="D32" s="77"/>
      <c r="E32" s="77" t="s">
        <v>305</v>
      </c>
      <c r="F32" s="77">
        <f>0.169</f>
        <v>0.169</v>
      </c>
      <c r="G32" s="77"/>
      <c r="H32" s="77"/>
      <c r="I32" s="93"/>
      <c r="J32" s="76"/>
      <c r="K32" s="90"/>
      <c r="L32" s="90"/>
      <c r="M32" s="90"/>
      <c r="N32" s="90"/>
      <c r="O32" s="89"/>
      <c r="P32" s="100"/>
      <c r="Q32" s="93"/>
      <c r="R32" s="109"/>
    </row>
    <row r="33" spans="1:18" ht="12.75">
      <c r="A33" s="260" t="s">
        <v>424</v>
      </c>
      <c r="B33" s="74"/>
      <c r="C33" s="74"/>
      <c r="D33" s="74"/>
      <c r="E33" s="74" t="s">
        <v>265</v>
      </c>
      <c r="F33" s="74">
        <f>0</f>
        <v>0</v>
      </c>
      <c r="G33" s="74"/>
      <c r="H33" s="74"/>
      <c r="I33" s="94" t="s">
        <v>445</v>
      </c>
      <c r="J33" s="74" t="s">
        <v>419</v>
      </c>
      <c r="K33" s="91">
        <v>0.03</v>
      </c>
      <c r="L33" s="91">
        <v>0.03</v>
      </c>
      <c r="M33" s="91">
        <v>0.45</v>
      </c>
      <c r="N33" s="91">
        <v>0.49</v>
      </c>
      <c r="O33" s="85">
        <v>0.12</v>
      </c>
      <c r="P33" s="101">
        <v>0.88</v>
      </c>
      <c r="Q33" s="94" t="s">
        <v>445</v>
      </c>
      <c r="R33" s="104">
        <v>20</v>
      </c>
    </row>
    <row r="34" spans="1:18" ht="12.75">
      <c r="A34" s="265"/>
      <c r="B34" s="76"/>
      <c r="C34" s="76"/>
      <c r="D34" s="76"/>
      <c r="E34" s="76" t="s">
        <v>301</v>
      </c>
      <c r="F34" s="76">
        <f>0</f>
        <v>0</v>
      </c>
      <c r="G34" s="76"/>
      <c r="H34" s="76"/>
      <c r="I34" s="93"/>
      <c r="J34" s="76"/>
      <c r="K34" s="90"/>
      <c r="L34" s="90"/>
      <c r="M34" s="90"/>
      <c r="N34" s="90"/>
      <c r="O34" s="89"/>
      <c r="P34" s="100"/>
      <c r="Q34" s="93"/>
      <c r="R34" s="104"/>
    </row>
    <row r="35" spans="1:18" ht="13.5" thickBot="1">
      <c r="A35" s="261"/>
      <c r="B35" s="77"/>
      <c r="C35" s="77"/>
      <c r="D35" s="77"/>
      <c r="E35" s="77" t="s">
        <v>305</v>
      </c>
      <c r="F35" s="77">
        <f>0.169</f>
        <v>0.169</v>
      </c>
      <c r="G35" s="77"/>
      <c r="H35" s="77"/>
      <c r="I35" s="95"/>
      <c r="J35" s="77"/>
      <c r="K35" s="86"/>
      <c r="L35" s="86"/>
      <c r="M35" s="86"/>
      <c r="N35" s="86"/>
      <c r="O35" s="87"/>
      <c r="P35" s="102"/>
      <c r="Q35" s="95"/>
      <c r="R35" s="104"/>
    </row>
    <row r="36" spans="1:18" ht="12.75">
      <c r="A36" s="260" t="s">
        <v>425</v>
      </c>
      <c r="B36" s="74"/>
      <c r="C36" s="74"/>
      <c r="D36" s="74"/>
      <c r="E36" s="74" t="s">
        <v>265</v>
      </c>
      <c r="F36" s="74">
        <f>0.2462</f>
        <v>0.2462</v>
      </c>
      <c r="G36" s="74"/>
      <c r="H36" s="74"/>
      <c r="I36" s="93" t="s">
        <v>446</v>
      </c>
      <c r="J36" s="76" t="s">
        <v>418</v>
      </c>
      <c r="K36" s="90">
        <v>0.65</v>
      </c>
      <c r="L36" s="90">
        <v>0.35</v>
      </c>
      <c r="M36" s="90">
        <v>0</v>
      </c>
      <c r="N36" s="90">
        <v>0</v>
      </c>
      <c r="O36" s="89"/>
      <c r="P36" s="100"/>
      <c r="Q36" s="93" t="s">
        <v>446</v>
      </c>
      <c r="R36" s="110">
        <v>20</v>
      </c>
    </row>
    <row r="37" spans="1:18" ht="12.75">
      <c r="A37" s="266"/>
      <c r="B37" s="76"/>
      <c r="C37" s="76"/>
      <c r="D37" s="76"/>
      <c r="E37" s="76" t="s">
        <v>301</v>
      </c>
      <c r="F37" s="76">
        <f>0.000602*0.75</f>
        <v>0.00045149999999999997</v>
      </c>
      <c r="G37" s="76"/>
      <c r="H37" s="76"/>
      <c r="I37" s="93"/>
      <c r="J37" s="76"/>
      <c r="K37" s="90"/>
      <c r="L37" s="90"/>
      <c r="M37" s="90"/>
      <c r="N37" s="90"/>
      <c r="O37" s="89"/>
      <c r="P37" s="100"/>
      <c r="Q37" s="93"/>
      <c r="R37" s="104"/>
    </row>
    <row r="38" spans="1:18" ht="13.5" thickBot="1">
      <c r="A38" s="261"/>
      <c r="B38" s="77"/>
      <c r="C38" s="77"/>
      <c r="D38" s="77"/>
      <c r="E38" s="77" t="s">
        <v>306</v>
      </c>
      <c r="F38" s="77">
        <f>0.0169</f>
        <v>0.0169</v>
      </c>
      <c r="G38" s="77"/>
      <c r="H38" s="77"/>
      <c r="I38" s="93"/>
      <c r="J38" s="76"/>
      <c r="K38" s="90"/>
      <c r="L38" s="90"/>
      <c r="M38" s="90"/>
      <c r="N38" s="90"/>
      <c r="O38" s="89"/>
      <c r="P38" s="100"/>
      <c r="Q38" s="93"/>
      <c r="R38" s="109"/>
    </row>
    <row r="39" spans="1:18" ht="12.75">
      <c r="A39" s="260" t="s">
        <v>426</v>
      </c>
      <c r="B39" s="74"/>
      <c r="C39" s="74"/>
      <c r="D39" s="74"/>
      <c r="E39" s="74" t="s">
        <v>265</v>
      </c>
      <c r="F39" s="74">
        <f>0</f>
        <v>0</v>
      </c>
      <c r="G39" s="74"/>
      <c r="H39" s="74"/>
      <c r="I39" s="94" t="s">
        <v>447</v>
      </c>
      <c r="J39" s="74" t="s">
        <v>418</v>
      </c>
      <c r="K39" s="91">
        <v>0.03</v>
      </c>
      <c r="L39" s="91">
        <v>0.03</v>
      </c>
      <c r="M39" s="91">
        <v>0.45</v>
      </c>
      <c r="N39" s="91">
        <v>0.49</v>
      </c>
      <c r="O39" s="85"/>
      <c r="P39" s="101"/>
      <c r="Q39" s="94" t="s">
        <v>447</v>
      </c>
      <c r="R39" s="104">
        <v>20</v>
      </c>
    </row>
    <row r="40" spans="1:18" ht="12.75">
      <c r="A40" s="265"/>
      <c r="B40" s="76"/>
      <c r="C40" s="76"/>
      <c r="D40" s="76"/>
      <c r="E40" s="76" t="s">
        <v>301</v>
      </c>
      <c r="F40" s="76">
        <f>0</f>
        <v>0</v>
      </c>
      <c r="G40" s="76"/>
      <c r="H40" s="76"/>
      <c r="I40" s="93"/>
      <c r="J40" s="76"/>
      <c r="K40" s="90"/>
      <c r="L40" s="90"/>
      <c r="M40" s="90"/>
      <c r="N40" s="90"/>
      <c r="O40" s="89"/>
      <c r="P40" s="100"/>
      <c r="Q40" s="93"/>
      <c r="R40" s="104"/>
    </row>
    <row r="41" spans="1:18" ht="13.5" thickBot="1">
      <c r="A41" s="261"/>
      <c r="B41" s="77"/>
      <c r="C41" s="77"/>
      <c r="D41" s="77"/>
      <c r="E41" s="77" t="s">
        <v>306</v>
      </c>
      <c r="F41" s="77">
        <f>0.0169</f>
        <v>0.0169</v>
      </c>
      <c r="G41" s="77"/>
      <c r="H41" s="77"/>
      <c r="I41" s="95"/>
      <c r="J41" s="77"/>
      <c r="K41" s="86"/>
      <c r="L41" s="86"/>
      <c r="M41" s="86"/>
      <c r="N41" s="86"/>
      <c r="O41" s="87"/>
      <c r="P41" s="102"/>
      <c r="Q41" s="95"/>
      <c r="R41" s="104"/>
    </row>
    <row r="42" spans="1:18" ht="12.75">
      <c r="A42" s="260" t="s">
        <v>421</v>
      </c>
      <c r="B42" s="74"/>
      <c r="C42" s="74"/>
      <c r="D42" s="74"/>
      <c r="E42" s="74" t="s">
        <v>265</v>
      </c>
      <c r="F42" s="74">
        <f>4</f>
        <v>4</v>
      </c>
      <c r="G42" s="74"/>
      <c r="H42" s="74"/>
      <c r="I42" s="93" t="s">
        <v>448</v>
      </c>
      <c r="J42" s="76" t="s">
        <v>418</v>
      </c>
      <c r="K42" s="90">
        <v>0.1</v>
      </c>
      <c r="L42" s="90">
        <v>0.07</v>
      </c>
      <c r="M42" s="90">
        <v>0.4</v>
      </c>
      <c r="N42" s="90">
        <v>0.44</v>
      </c>
      <c r="O42" s="89"/>
      <c r="P42" s="100"/>
      <c r="Q42" s="93" t="s">
        <v>448</v>
      </c>
      <c r="R42" s="110">
        <v>20</v>
      </c>
    </row>
    <row r="43" spans="1:18" ht="13.5" thickBot="1">
      <c r="A43" s="261"/>
      <c r="B43" s="77"/>
      <c r="C43" s="77"/>
      <c r="D43" s="77"/>
      <c r="E43" s="77" t="s">
        <v>301</v>
      </c>
      <c r="F43" s="77">
        <f>0.000602*0.75</f>
        <v>0.00045149999999999997</v>
      </c>
      <c r="G43" s="77"/>
      <c r="H43" s="77"/>
      <c r="I43" s="93"/>
      <c r="J43" s="76"/>
      <c r="K43" s="90"/>
      <c r="L43" s="90"/>
      <c r="M43" s="90"/>
      <c r="N43" s="90"/>
      <c r="O43" s="89"/>
      <c r="P43" s="100"/>
      <c r="Q43" s="93"/>
      <c r="R43" s="109"/>
    </row>
    <row r="44" spans="1:18" ht="12.75">
      <c r="A44" s="260" t="s">
        <v>422</v>
      </c>
      <c r="B44" s="74"/>
      <c r="C44" s="74"/>
      <c r="D44" s="74"/>
      <c r="E44" s="74" t="s">
        <v>265</v>
      </c>
      <c r="F44" s="74">
        <f>3.97</f>
        <v>3.97</v>
      </c>
      <c r="G44" s="74"/>
      <c r="H44" s="74"/>
      <c r="I44" s="94" t="s">
        <v>449</v>
      </c>
      <c r="J44" s="74" t="s">
        <v>418</v>
      </c>
      <c r="K44" s="91">
        <v>0.03</v>
      </c>
      <c r="L44" s="91">
        <v>0.03</v>
      </c>
      <c r="M44" s="91">
        <v>0.45</v>
      </c>
      <c r="N44" s="91">
        <v>0.49</v>
      </c>
      <c r="O44" s="85"/>
      <c r="P44" s="101"/>
      <c r="Q44" s="94" t="s">
        <v>449</v>
      </c>
      <c r="R44" s="104">
        <v>20</v>
      </c>
    </row>
    <row r="45" spans="1:18" ht="13.5" thickBot="1">
      <c r="A45" s="261"/>
      <c r="B45" s="77"/>
      <c r="C45" s="77"/>
      <c r="D45" s="77"/>
      <c r="E45" s="77" t="s">
        <v>301</v>
      </c>
      <c r="F45" s="77">
        <f>0</f>
        <v>0</v>
      </c>
      <c r="G45" s="77"/>
      <c r="H45" s="77"/>
      <c r="I45" s="95"/>
      <c r="J45" s="77"/>
      <c r="K45" s="86"/>
      <c r="L45" s="86"/>
      <c r="M45" s="86"/>
      <c r="N45" s="86"/>
      <c r="O45" s="87"/>
      <c r="P45" s="102"/>
      <c r="Q45" s="95"/>
      <c r="R45" s="109"/>
    </row>
    <row r="46" spans="8:18" ht="51">
      <c r="H46" s="7" t="s">
        <v>427</v>
      </c>
      <c r="I46" s="93"/>
      <c r="J46" s="76"/>
      <c r="K46" s="90"/>
      <c r="L46" s="90"/>
      <c r="M46" s="90"/>
      <c r="N46" s="90"/>
      <c r="O46" s="89"/>
      <c r="P46" s="100"/>
      <c r="Q46" s="93"/>
      <c r="R46" s="104"/>
    </row>
    <row r="47" spans="9:18" ht="12.75">
      <c r="I47" s="93"/>
      <c r="J47" s="76"/>
      <c r="K47" s="90"/>
      <c r="L47" s="90"/>
      <c r="M47" s="90"/>
      <c r="N47" s="90"/>
      <c r="O47" s="89"/>
      <c r="P47" s="100"/>
      <c r="Q47" s="93"/>
      <c r="R47" s="104"/>
    </row>
    <row r="48" spans="9:18" ht="12.75">
      <c r="I48" s="93"/>
      <c r="J48" s="76"/>
      <c r="K48" s="90"/>
      <c r="L48" s="90"/>
      <c r="M48" s="90"/>
      <c r="N48" s="90"/>
      <c r="O48" s="89"/>
      <c r="P48" s="100"/>
      <c r="Q48" s="93"/>
      <c r="R48" s="104"/>
    </row>
    <row r="49" spans="1:18" ht="18">
      <c r="A49" s="259" t="s">
        <v>263</v>
      </c>
      <c r="B49" s="259"/>
      <c r="C49" s="259"/>
      <c r="D49" s="259"/>
      <c r="E49" s="259"/>
      <c r="F49" s="259"/>
      <c r="G49" s="259"/>
      <c r="H49" s="259"/>
      <c r="I49" s="251" t="s">
        <v>263</v>
      </c>
      <c r="J49" s="253"/>
      <c r="K49" s="253"/>
      <c r="L49" s="253"/>
      <c r="M49" s="253"/>
      <c r="N49" s="253"/>
      <c r="O49" s="253"/>
      <c r="P49" s="252"/>
      <c r="Q49" s="251" t="s">
        <v>263</v>
      </c>
      <c r="R49" s="252"/>
    </row>
    <row r="50" spans="1:18" ht="18">
      <c r="A50" s="84"/>
      <c r="B50" s="84"/>
      <c r="C50" s="84"/>
      <c r="D50" s="84"/>
      <c r="E50" s="84"/>
      <c r="F50" s="84"/>
      <c r="G50" s="84"/>
      <c r="H50" s="84"/>
      <c r="I50" s="93"/>
      <c r="J50" s="76"/>
      <c r="K50" s="254" t="s">
        <v>195</v>
      </c>
      <c r="L50" s="254"/>
      <c r="M50" s="254"/>
      <c r="N50" s="254"/>
      <c r="O50" s="255" t="s">
        <v>443</v>
      </c>
      <c r="P50" s="256"/>
      <c r="Q50" s="251"/>
      <c r="R50" s="252"/>
    </row>
    <row r="51" spans="1:18" ht="26.25" thickBot="1">
      <c r="A51" s="7" t="s">
        <v>233</v>
      </c>
      <c r="B51" s="7" t="s">
        <v>267</v>
      </c>
      <c r="C51" s="7" t="s">
        <v>234</v>
      </c>
      <c r="E51" s="7" t="s">
        <v>230</v>
      </c>
      <c r="H51" s="7" t="s">
        <v>242</v>
      </c>
      <c r="I51" s="95" t="s">
        <v>233</v>
      </c>
      <c r="J51" s="77" t="s">
        <v>409</v>
      </c>
      <c r="K51" s="86" t="s">
        <v>410</v>
      </c>
      <c r="L51" s="86" t="s">
        <v>178</v>
      </c>
      <c r="M51" s="86" t="s">
        <v>411</v>
      </c>
      <c r="N51" s="86" t="s">
        <v>412</v>
      </c>
      <c r="O51" s="87" t="s">
        <v>205</v>
      </c>
      <c r="P51" s="102" t="s">
        <v>206</v>
      </c>
      <c r="Q51" s="95" t="s">
        <v>233</v>
      </c>
      <c r="R51" s="109" t="s">
        <v>456</v>
      </c>
    </row>
    <row r="52" spans="1:18" ht="12.75">
      <c r="A52" s="260" t="s">
        <v>266</v>
      </c>
      <c r="B52" s="260" t="s">
        <v>268</v>
      </c>
      <c r="C52" s="74"/>
      <c r="D52" s="74"/>
      <c r="E52" s="74" t="s">
        <v>265</v>
      </c>
      <c r="F52" s="74">
        <f>((42)*(2.5*365))/1000</f>
        <v>38.325</v>
      </c>
      <c r="G52" s="74"/>
      <c r="H52" s="74"/>
      <c r="I52" s="94"/>
      <c r="J52" s="74"/>
      <c r="K52" s="91"/>
      <c r="L52" s="91"/>
      <c r="M52" s="91"/>
      <c r="N52" s="91"/>
      <c r="O52" s="85"/>
      <c r="P52" s="101"/>
      <c r="Q52" s="93"/>
      <c r="R52" s="104"/>
    </row>
    <row r="53" spans="1:18" ht="25.5">
      <c r="A53" s="265"/>
      <c r="B53" s="265"/>
      <c r="C53" s="76"/>
      <c r="D53" s="76"/>
      <c r="E53" s="76" t="s">
        <v>236</v>
      </c>
      <c r="F53" s="76">
        <f>(42)*0.05</f>
        <v>2.1</v>
      </c>
      <c r="G53" s="76"/>
      <c r="H53" s="76"/>
      <c r="I53" s="93" t="s">
        <v>266</v>
      </c>
      <c r="J53" s="76" t="s">
        <v>418</v>
      </c>
      <c r="K53" s="90">
        <v>0.21</v>
      </c>
      <c r="L53" s="90">
        <v>0.22</v>
      </c>
      <c r="M53" s="90">
        <v>0.28</v>
      </c>
      <c r="N53" s="90">
        <v>0.29</v>
      </c>
      <c r="O53" s="89"/>
      <c r="P53" s="100"/>
      <c r="Q53" s="93" t="s">
        <v>464</v>
      </c>
      <c r="R53" s="104">
        <v>6.4</v>
      </c>
    </row>
    <row r="54" spans="1:18" ht="12.75">
      <c r="A54" s="265"/>
      <c r="B54" s="239" t="s">
        <v>269</v>
      </c>
      <c r="C54" s="80"/>
      <c r="D54" s="80"/>
      <c r="E54" s="80" t="s">
        <v>265</v>
      </c>
      <c r="F54" s="80">
        <f>((90)*(3.5*365))/1000</f>
        <v>114.975</v>
      </c>
      <c r="G54" s="80"/>
      <c r="H54" s="80"/>
      <c r="I54" s="93"/>
      <c r="J54" s="76"/>
      <c r="K54" s="90"/>
      <c r="L54" s="90"/>
      <c r="M54" s="90"/>
      <c r="N54" s="90"/>
      <c r="O54" s="89"/>
      <c r="P54" s="100"/>
      <c r="Q54" s="96"/>
      <c r="R54" s="113"/>
    </row>
    <row r="55" spans="1:18" ht="25.5">
      <c r="A55" s="265"/>
      <c r="B55" s="240"/>
      <c r="C55" s="81"/>
      <c r="D55" s="81"/>
      <c r="E55" s="81" t="s">
        <v>236</v>
      </c>
      <c r="F55" s="81">
        <f>(90)*0.05</f>
        <v>4.5</v>
      </c>
      <c r="G55" s="81"/>
      <c r="H55" s="81"/>
      <c r="I55" s="93"/>
      <c r="J55" s="76"/>
      <c r="K55" s="90"/>
      <c r="L55" s="90"/>
      <c r="M55" s="90"/>
      <c r="N55" s="90"/>
      <c r="O55" s="89"/>
      <c r="P55" s="100"/>
      <c r="Q55" s="97" t="s">
        <v>269</v>
      </c>
      <c r="R55" s="112">
        <v>20</v>
      </c>
    </row>
    <row r="56" spans="1:18" ht="12.75">
      <c r="A56" s="265"/>
      <c r="B56" s="265" t="s">
        <v>270</v>
      </c>
      <c r="C56" s="76"/>
      <c r="D56" s="76"/>
      <c r="E56" s="76" t="s">
        <v>265</v>
      </c>
      <c r="F56" s="76">
        <f>((245)*(3.5*365))/1000</f>
        <v>312.9875</v>
      </c>
      <c r="G56" s="76"/>
      <c r="H56" s="76"/>
      <c r="I56" s="93"/>
      <c r="J56" s="76"/>
      <c r="K56" s="90"/>
      <c r="L56" s="90"/>
      <c r="M56" s="90"/>
      <c r="N56" s="90"/>
      <c r="O56" s="89"/>
      <c r="P56" s="100"/>
      <c r="Q56" s="93"/>
      <c r="R56" s="104"/>
    </row>
    <row r="57" spans="1:18" ht="26.25" thickBot="1">
      <c r="A57" s="261"/>
      <c r="B57" s="261"/>
      <c r="C57" s="77"/>
      <c r="D57" s="77"/>
      <c r="E57" s="77" t="s">
        <v>236</v>
      </c>
      <c r="F57" s="77">
        <f>(245)*0.05</f>
        <v>12.25</v>
      </c>
      <c r="G57" s="77"/>
      <c r="H57" s="77"/>
      <c r="I57" s="95"/>
      <c r="J57" s="77"/>
      <c r="K57" s="86"/>
      <c r="L57" s="86"/>
      <c r="M57" s="86"/>
      <c r="N57" s="86"/>
      <c r="O57" s="87"/>
      <c r="P57" s="102"/>
      <c r="Q57" s="93" t="s">
        <v>270</v>
      </c>
      <c r="R57" s="104">
        <v>10</v>
      </c>
    </row>
    <row r="58" spans="1:18" ht="25.5">
      <c r="A58" s="266" t="s">
        <v>271</v>
      </c>
      <c r="E58" s="7" t="s">
        <v>265</v>
      </c>
      <c r="F58" s="7" t="s">
        <v>273</v>
      </c>
      <c r="I58" s="93" t="s">
        <v>450</v>
      </c>
      <c r="J58" s="76" t="s">
        <v>418</v>
      </c>
      <c r="K58" s="90">
        <v>0.21</v>
      </c>
      <c r="L58" s="90">
        <v>0.22</v>
      </c>
      <c r="M58" s="90">
        <v>0.28</v>
      </c>
      <c r="N58" s="90">
        <v>0.29</v>
      </c>
      <c r="O58" s="85"/>
      <c r="P58" s="101"/>
      <c r="Q58" s="94" t="s">
        <v>450</v>
      </c>
      <c r="R58" s="110"/>
    </row>
    <row r="59" spans="1:18" ht="25.5">
      <c r="A59" s="266"/>
      <c r="E59" s="7" t="s">
        <v>253</v>
      </c>
      <c r="F59" s="7" t="s">
        <v>274</v>
      </c>
      <c r="I59" s="93" t="s">
        <v>450</v>
      </c>
      <c r="J59" s="76" t="s">
        <v>419</v>
      </c>
      <c r="K59" s="90"/>
      <c r="L59" s="90"/>
      <c r="M59" s="90"/>
      <c r="N59" s="90"/>
      <c r="O59" s="89">
        <v>0.12</v>
      </c>
      <c r="P59" s="100">
        <v>0.88</v>
      </c>
      <c r="Q59" s="93"/>
      <c r="R59" s="104"/>
    </row>
    <row r="60" spans="1:18" ht="25.5">
      <c r="A60" s="266"/>
      <c r="E60" s="7" t="s">
        <v>236</v>
      </c>
      <c r="F60" s="7">
        <f>0.022*0.75</f>
        <v>0.0165</v>
      </c>
      <c r="I60" s="93"/>
      <c r="J60" s="76"/>
      <c r="K60" s="90"/>
      <c r="L60" s="90"/>
      <c r="M60" s="90"/>
      <c r="N60" s="90"/>
      <c r="O60" s="89"/>
      <c r="P60" s="100"/>
      <c r="Q60" s="93"/>
      <c r="R60" s="104"/>
    </row>
    <row r="61" spans="1:18" ht="26.25" thickBot="1">
      <c r="A61" s="266"/>
      <c r="E61" s="7" t="s">
        <v>272</v>
      </c>
      <c r="F61" s="7" t="s">
        <v>275</v>
      </c>
      <c r="H61" s="81"/>
      <c r="I61" s="95"/>
      <c r="J61" s="77"/>
      <c r="K61" s="86"/>
      <c r="L61" s="86"/>
      <c r="M61" s="86"/>
      <c r="N61" s="86"/>
      <c r="O61" s="87"/>
      <c r="P61" s="102"/>
      <c r="Q61" s="95"/>
      <c r="R61" s="109"/>
    </row>
    <row r="62" spans="1:18" ht="37.5" customHeight="1">
      <c r="A62" s="260" t="s">
        <v>280</v>
      </c>
      <c r="B62" s="260" t="s">
        <v>281</v>
      </c>
      <c r="C62" s="74" t="s">
        <v>282</v>
      </c>
      <c r="D62" s="75"/>
      <c r="E62" s="74" t="s">
        <v>265</v>
      </c>
      <c r="F62" s="74">
        <f>$D$62*0.05</f>
        <v>0</v>
      </c>
      <c r="G62" s="74"/>
      <c r="H62" s="74"/>
      <c r="I62" s="93"/>
      <c r="J62" s="76"/>
      <c r="K62" s="90"/>
      <c r="L62" s="90"/>
      <c r="M62" s="90"/>
      <c r="N62" s="90"/>
      <c r="O62" s="89"/>
      <c r="P62" s="100"/>
      <c r="Q62" s="94" t="s">
        <v>461</v>
      </c>
      <c r="R62" s="110">
        <v>17</v>
      </c>
    </row>
    <row r="63" spans="1:18" ht="37.5" customHeight="1">
      <c r="A63" s="265"/>
      <c r="B63" s="240"/>
      <c r="C63" s="81" t="s">
        <v>283</v>
      </c>
      <c r="D63" s="72"/>
      <c r="E63" s="81" t="s">
        <v>253</v>
      </c>
      <c r="F63" s="81">
        <f>($D$63*0.05)</f>
        <v>0</v>
      </c>
      <c r="G63" s="81"/>
      <c r="H63" s="81"/>
      <c r="I63" s="93" t="s">
        <v>451</v>
      </c>
      <c r="J63" s="76" t="s">
        <v>381</v>
      </c>
      <c r="K63" s="90">
        <v>0.21</v>
      </c>
      <c r="L63" s="90">
        <v>0.22</v>
      </c>
      <c r="M63" s="90">
        <v>0.28</v>
      </c>
      <c r="N63" s="90">
        <v>0.29</v>
      </c>
      <c r="O63" s="89"/>
      <c r="P63" s="100"/>
      <c r="Q63" s="97"/>
      <c r="R63" s="112"/>
    </row>
    <row r="64" spans="1:18" ht="63.75">
      <c r="A64" s="265"/>
      <c r="B64" s="265" t="s">
        <v>284</v>
      </c>
      <c r="C64" s="76" t="s">
        <v>285</v>
      </c>
      <c r="D64" s="73"/>
      <c r="E64" s="76" t="s">
        <v>265</v>
      </c>
      <c r="F64" s="76">
        <f>$D$64*0.1</f>
        <v>0</v>
      </c>
      <c r="G64" s="76"/>
      <c r="H64" s="76"/>
      <c r="I64" s="93" t="s">
        <v>451</v>
      </c>
      <c r="J64" s="76" t="s">
        <v>452</v>
      </c>
      <c r="K64" s="90"/>
      <c r="L64" s="90"/>
      <c r="M64" s="90"/>
      <c r="N64" s="90"/>
      <c r="O64" s="89">
        <v>0.12</v>
      </c>
      <c r="P64" s="100">
        <v>0.88</v>
      </c>
      <c r="Q64" s="96" t="s">
        <v>462</v>
      </c>
      <c r="R64" s="113">
        <v>15</v>
      </c>
    </row>
    <row r="65" spans="1:18" ht="51">
      <c r="A65" s="265"/>
      <c r="B65" s="265"/>
      <c r="C65" s="76" t="s">
        <v>283</v>
      </c>
      <c r="D65" s="72"/>
      <c r="E65" s="76" t="s">
        <v>236</v>
      </c>
      <c r="F65" s="76">
        <f>($D$64*0.1)/(650*0.85)</f>
        <v>0</v>
      </c>
      <c r="G65" s="76"/>
      <c r="H65" s="76"/>
      <c r="I65" s="93" t="s">
        <v>451</v>
      </c>
      <c r="J65" s="76" t="s">
        <v>453</v>
      </c>
      <c r="K65" s="90"/>
      <c r="L65" s="90"/>
      <c r="M65" s="90"/>
      <c r="N65" s="90"/>
      <c r="O65" s="89">
        <v>0.5</v>
      </c>
      <c r="P65" s="100">
        <v>0.5</v>
      </c>
      <c r="Q65" s="93"/>
      <c r="R65" s="104"/>
    </row>
    <row r="66" spans="1:18" ht="12.75">
      <c r="A66" s="265"/>
      <c r="B66" s="265"/>
      <c r="C66" s="76"/>
      <c r="D66" s="76"/>
      <c r="E66" s="76" t="s">
        <v>253</v>
      </c>
      <c r="F66" s="76">
        <f>$D$65*0.02</f>
        <v>0</v>
      </c>
      <c r="G66" s="76"/>
      <c r="H66" s="76"/>
      <c r="I66" s="93"/>
      <c r="J66" s="76"/>
      <c r="K66" s="90"/>
      <c r="L66" s="90"/>
      <c r="M66" s="90"/>
      <c r="N66" s="90"/>
      <c r="O66" s="89"/>
      <c r="P66" s="100"/>
      <c r="Q66" s="97"/>
      <c r="R66" s="112"/>
    </row>
    <row r="67" spans="1:18" ht="51">
      <c r="A67" s="265"/>
      <c r="B67" s="239" t="s">
        <v>286</v>
      </c>
      <c r="C67" s="80" t="s">
        <v>282</v>
      </c>
      <c r="D67" s="72"/>
      <c r="E67" s="80" t="s">
        <v>265</v>
      </c>
      <c r="F67" s="80">
        <f>($D$67*0.95)*0.02</f>
        <v>0</v>
      </c>
      <c r="G67" s="80"/>
      <c r="H67" s="80"/>
      <c r="I67" s="93"/>
      <c r="J67" s="76"/>
      <c r="K67" s="90"/>
      <c r="L67" s="90"/>
      <c r="M67" s="90"/>
      <c r="N67" s="90"/>
      <c r="O67" s="89"/>
      <c r="P67" s="100"/>
      <c r="Q67" s="93" t="s">
        <v>463</v>
      </c>
      <c r="R67" s="104">
        <v>15</v>
      </c>
    </row>
    <row r="68" spans="1:18" ht="51">
      <c r="A68" s="265"/>
      <c r="B68" s="240"/>
      <c r="C68" s="81" t="s">
        <v>283</v>
      </c>
      <c r="D68" s="72"/>
      <c r="E68" s="81" t="s">
        <v>253</v>
      </c>
      <c r="F68" s="81">
        <f>($D$68*0.02)</f>
        <v>0</v>
      </c>
      <c r="G68" s="81"/>
      <c r="H68" s="81"/>
      <c r="I68" s="93"/>
      <c r="J68" s="76"/>
      <c r="K68" s="90"/>
      <c r="L68" s="90"/>
      <c r="M68" s="90"/>
      <c r="N68" s="90"/>
      <c r="O68" s="89"/>
      <c r="P68" s="100"/>
      <c r="Q68" s="93"/>
      <c r="R68" s="104"/>
    </row>
    <row r="69" spans="1:18" ht="51">
      <c r="A69" s="265"/>
      <c r="B69" s="265" t="s">
        <v>287</v>
      </c>
      <c r="C69" s="76" t="s">
        <v>282</v>
      </c>
      <c r="D69" s="73"/>
      <c r="E69" s="76" t="s">
        <v>265</v>
      </c>
      <c r="F69" s="76">
        <f>($D$69*0.93)*0.08</f>
        <v>0</v>
      </c>
      <c r="G69" s="76"/>
      <c r="H69" s="76"/>
      <c r="I69" s="93"/>
      <c r="J69" s="76"/>
      <c r="K69" s="90"/>
      <c r="L69" s="90"/>
      <c r="M69" s="90"/>
      <c r="N69" s="90"/>
      <c r="O69" s="89"/>
      <c r="P69" s="100"/>
      <c r="Q69" s="96" t="s">
        <v>287</v>
      </c>
      <c r="R69" s="113">
        <v>17</v>
      </c>
    </row>
    <row r="70" spans="1:18" ht="51">
      <c r="A70" s="265"/>
      <c r="B70" s="265"/>
      <c r="C70" s="76" t="s">
        <v>283</v>
      </c>
      <c r="D70" s="79"/>
      <c r="E70" s="76" t="s">
        <v>253</v>
      </c>
      <c r="F70" s="76">
        <f>$D$70*0.13</f>
        <v>0</v>
      </c>
      <c r="G70" s="76"/>
      <c r="H70" s="81"/>
      <c r="I70" s="93"/>
      <c r="J70" s="76"/>
      <c r="K70" s="90"/>
      <c r="L70" s="90"/>
      <c r="M70" s="90"/>
      <c r="N70" s="90"/>
      <c r="O70" s="89"/>
      <c r="P70" s="100"/>
      <c r="Q70" s="97"/>
      <c r="R70" s="112"/>
    </row>
    <row r="71" spans="1:18" ht="51">
      <c r="A71" s="265"/>
      <c r="B71" s="239" t="s">
        <v>288</v>
      </c>
      <c r="C71" s="80" t="s">
        <v>282</v>
      </c>
      <c r="D71" s="72"/>
      <c r="E71" s="80" t="s">
        <v>265</v>
      </c>
      <c r="F71" s="80">
        <f>($D$71*0.85)*0.03</f>
        <v>0</v>
      </c>
      <c r="G71" s="80"/>
      <c r="H71" s="80"/>
      <c r="I71" s="93"/>
      <c r="J71" s="76"/>
      <c r="K71" s="90"/>
      <c r="L71" s="90"/>
      <c r="M71" s="90"/>
      <c r="N71" s="90"/>
      <c r="O71" s="89"/>
      <c r="P71" s="100"/>
      <c r="Q71" s="93" t="s">
        <v>288</v>
      </c>
      <c r="R71" s="104">
        <v>5</v>
      </c>
    </row>
    <row r="72" spans="1:18" ht="51">
      <c r="A72" s="265"/>
      <c r="B72" s="240"/>
      <c r="C72" s="81" t="s">
        <v>283</v>
      </c>
      <c r="D72" s="72"/>
      <c r="E72" s="81" t="s">
        <v>253</v>
      </c>
      <c r="F72" s="81">
        <f>$D$72*0.03</f>
        <v>0</v>
      </c>
      <c r="G72" s="81"/>
      <c r="H72" s="81"/>
      <c r="I72" s="93"/>
      <c r="J72" s="76"/>
      <c r="K72" s="90"/>
      <c r="L72" s="90"/>
      <c r="M72" s="90"/>
      <c r="N72" s="90"/>
      <c r="O72" s="89"/>
      <c r="P72" s="100"/>
      <c r="Q72" s="93"/>
      <c r="R72" s="104"/>
    </row>
    <row r="73" spans="1:18" ht="51">
      <c r="A73" s="265"/>
      <c r="B73" s="265" t="s">
        <v>289</v>
      </c>
      <c r="C73" s="76" t="s">
        <v>282</v>
      </c>
      <c r="D73" s="73"/>
      <c r="E73" s="76" t="s">
        <v>265</v>
      </c>
      <c r="F73" s="76">
        <f>($D$73*0.93)*0.17</f>
        <v>0</v>
      </c>
      <c r="G73" s="76"/>
      <c r="H73" s="80"/>
      <c r="I73" s="93"/>
      <c r="J73" s="76"/>
      <c r="K73" s="90"/>
      <c r="L73" s="90"/>
      <c r="M73" s="90"/>
      <c r="N73" s="90"/>
      <c r="O73" s="89"/>
      <c r="P73" s="100"/>
      <c r="Q73" s="96" t="s">
        <v>465</v>
      </c>
      <c r="R73" s="113"/>
    </row>
    <row r="74" spans="1:18" ht="12.75">
      <c r="A74" s="265"/>
      <c r="B74" s="265"/>
      <c r="C74" s="76"/>
      <c r="D74" s="76"/>
      <c r="E74" s="76" t="s">
        <v>253</v>
      </c>
      <c r="F74" s="76">
        <f>(33000/11.3*1000)*0.7*0.07</f>
        <v>143097.34513274336</v>
      </c>
      <c r="G74" s="76"/>
      <c r="H74" s="76"/>
      <c r="I74" s="93"/>
      <c r="J74" s="76"/>
      <c r="K74" s="90"/>
      <c r="L74" s="90"/>
      <c r="M74" s="90"/>
      <c r="N74" s="90"/>
      <c r="O74" s="89"/>
      <c r="P74" s="100"/>
      <c r="Q74" s="97"/>
      <c r="R74" s="112"/>
    </row>
    <row r="75" spans="1:18" ht="51">
      <c r="A75" s="265"/>
      <c r="B75" s="80" t="s">
        <v>290</v>
      </c>
      <c r="C75" s="80" t="s">
        <v>282</v>
      </c>
      <c r="D75" s="72"/>
      <c r="E75" s="80" t="s">
        <v>265</v>
      </c>
      <c r="F75" s="80">
        <f>$D$75*0.1</f>
        <v>0</v>
      </c>
      <c r="G75" s="80"/>
      <c r="H75" s="80"/>
      <c r="I75" s="93"/>
      <c r="J75" s="76"/>
      <c r="K75" s="90"/>
      <c r="L75" s="90"/>
      <c r="M75" s="90"/>
      <c r="N75" s="90"/>
      <c r="O75" s="89"/>
      <c r="P75" s="100"/>
      <c r="Q75" s="93" t="s">
        <v>466</v>
      </c>
      <c r="R75" s="104"/>
    </row>
    <row r="76" spans="1:18" ht="51.75" thickBot="1">
      <c r="A76" s="261"/>
      <c r="B76" s="77"/>
      <c r="C76" s="77" t="s">
        <v>283</v>
      </c>
      <c r="D76" s="78"/>
      <c r="E76" s="77" t="s">
        <v>253</v>
      </c>
      <c r="F76" s="77">
        <f>$D$76*0.15</f>
        <v>0</v>
      </c>
      <c r="G76" s="77"/>
      <c r="H76" s="77"/>
      <c r="I76" s="93"/>
      <c r="J76" s="76"/>
      <c r="K76" s="90"/>
      <c r="L76" s="90"/>
      <c r="M76" s="90"/>
      <c r="N76" s="90"/>
      <c r="O76" s="89"/>
      <c r="P76" s="100"/>
      <c r="Q76" s="93"/>
      <c r="R76" s="104"/>
    </row>
    <row r="77" spans="2:18" ht="13.5" thickBot="1">
      <c r="B77" s="7" t="s">
        <v>234</v>
      </c>
      <c r="I77" s="98"/>
      <c r="J77" s="83"/>
      <c r="K77" s="92"/>
      <c r="L77" s="92"/>
      <c r="M77" s="92"/>
      <c r="N77" s="92"/>
      <c r="O77" s="99"/>
      <c r="P77" s="103"/>
      <c r="Q77" s="98"/>
      <c r="R77" s="111"/>
    </row>
    <row r="78" spans="1:18" ht="38.25">
      <c r="A78" s="260" t="s">
        <v>276</v>
      </c>
      <c r="B78" s="74" t="s">
        <v>277</v>
      </c>
      <c r="C78" s="75"/>
      <c r="D78" s="74"/>
      <c r="E78" s="74" t="s">
        <v>265</v>
      </c>
      <c r="F78" s="74">
        <f>$C$78-$C$79</f>
        <v>0</v>
      </c>
      <c r="G78" s="74"/>
      <c r="H78" s="74"/>
      <c r="I78" s="93"/>
      <c r="J78" s="76"/>
      <c r="K78" s="90"/>
      <c r="L78" s="90"/>
      <c r="M78" s="90"/>
      <c r="N78" s="90"/>
      <c r="O78" s="89"/>
      <c r="P78" s="100"/>
      <c r="Q78" s="93" t="s">
        <v>276</v>
      </c>
      <c r="R78" s="104">
        <v>20</v>
      </c>
    </row>
    <row r="79" spans="1:18" ht="38.25">
      <c r="A79" s="265"/>
      <c r="B79" s="76" t="s">
        <v>278</v>
      </c>
      <c r="C79" s="72"/>
      <c r="D79" s="76"/>
      <c r="E79" s="76" t="s">
        <v>236</v>
      </c>
      <c r="F79" s="76">
        <f>($C$78-$C$79)*($C$80)</f>
        <v>0</v>
      </c>
      <c r="G79" s="76"/>
      <c r="H79" s="76" t="s">
        <v>428</v>
      </c>
      <c r="I79" s="93" t="s">
        <v>276</v>
      </c>
      <c r="J79" s="76" t="s">
        <v>381</v>
      </c>
      <c r="K79" s="90">
        <v>0.21</v>
      </c>
      <c r="L79" s="90">
        <v>0.22</v>
      </c>
      <c r="M79" s="90">
        <v>0.28</v>
      </c>
      <c r="N79" s="90">
        <v>0.29</v>
      </c>
      <c r="O79" s="89"/>
      <c r="P79" s="100"/>
      <c r="Q79" s="93"/>
      <c r="R79" s="104"/>
    </row>
    <row r="80" spans="1:18" ht="26.25" thickBot="1">
      <c r="A80" s="261"/>
      <c r="B80" s="77" t="s">
        <v>279</v>
      </c>
      <c r="C80" s="78"/>
      <c r="D80" s="77"/>
      <c r="E80" s="77"/>
      <c r="F80" s="77"/>
      <c r="G80" s="77"/>
      <c r="H80" s="77"/>
      <c r="I80" s="95"/>
      <c r="J80" s="77"/>
      <c r="K80" s="86"/>
      <c r="L80" s="86"/>
      <c r="M80" s="86"/>
      <c r="N80" s="86"/>
      <c r="O80" s="87"/>
      <c r="P80" s="102"/>
      <c r="Q80" s="95"/>
      <c r="R80" s="109"/>
    </row>
    <row r="81" spans="9:18" ht="12.75">
      <c r="I81" s="93"/>
      <c r="J81" s="76"/>
      <c r="K81" s="90"/>
      <c r="L81" s="90"/>
      <c r="M81" s="90"/>
      <c r="N81" s="90"/>
      <c r="O81" s="89"/>
      <c r="P81" s="100"/>
      <c r="Q81" s="93"/>
      <c r="R81" s="104"/>
    </row>
    <row r="82" spans="9:18" ht="12.75">
      <c r="I82" s="93"/>
      <c r="J82" s="76"/>
      <c r="K82" s="90"/>
      <c r="L82" s="90"/>
      <c r="M82" s="90"/>
      <c r="N82" s="90"/>
      <c r="O82" s="89"/>
      <c r="P82" s="100"/>
      <c r="Q82" s="93"/>
      <c r="R82" s="104"/>
    </row>
    <row r="83" spans="1:18" ht="18">
      <c r="A83" s="259" t="s">
        <v>429</v>
      </c>
      <c r="B83" s="259"/>
      <c r="C83" s="259"/>
      <c r="D83" s="259"/>
      <c r="E83" s="259"/>
      <c r="F83" s="259"/>
      <c r="G83" s="259"/>
      <c r="H83" s="259"/>
      <c r="I83" s="251" t="s">
        <v>429</v>
      </c>
      <c r="J83" s="253"/>
      <c r="K83" s="253"/>
      <c r="L83" s="253"/>
      <c r="M83" s="253"/>
      <c r="N83" s="253"/>
      <c r="O83" s="253"/>
      <c r="P83" s="252"/>
      <c r="Q83" s="251" t="s">
        <v>460</v>
      </c>
      <c r="R83" s="252"/>
    </row>
    <row r="84" spans="1:18" ht="18">
      <c r="A84" s="84"/>
      <c r="B84" s="84"/>
      <c r="C84" s="84"/>
      <c r="D84" s="84"/>
      <c r="E84" s="84"/>
      <c r="F84" s="84"/>
      <c r="G84" s="84"/>
      <c r="H84" s="84"/>
      <c r="I84" s="93"/>
      <c r="J84" s="76"/>
      <c r="K84" s="254" t="s">
        <v>195</v>
      </c>
      <c r="L84" s="254"/>
      <c r="M84" s="254"/>
      <c r="N84" s="254"/>
      <c r="O84" s="255" t="s">
        <v>443</v>
      </c>
      <c r="P84" s="256"/>
      <c r="Q84" s="251"/>
      <c r="R84" s="252"/>
    </row>
    <row r="85" spans="1:18" ht="26.25" thickBot="1">
      <c r="A85" s="7" t="s">
        <v>233</v>
      </c>
      <c r="B85" s="7" t="s">
        <v>234</v>
      </c>
      <c r="E85" s="7" t="s">
        <v>230</v>
      </c>
      <c r="H85" s="7" t="s">
        <v>242</v>
      </c>
      <c r="I85" s="95" t="s">
        <v>233</v>
      </c>
      <c r="J85" s="77" t="s">
        <v>409</v>
      </c>
      <c r="K85" s="86" t="s">
        <v>410</v>
      </c>
      <c r="L85" s="86" t="s">
        <v>178</v>
      </c>
      <c r="M85" s="86" t="s">
        <v>411</v>
      </c>
      <c r="N85" s="86" t="s">
        <v>412</v>
      </c>
      <c r="O85" s="87" t="s">
        <v>205</v>
      </c>
      <c r="P85" s="102" t="s">
        <v>206</v>
      </c>
      <c r="Q85" s="95" t="s">
        <v>233</v>
      </c>
      <c r="R85" s="109" t="s">
        <v>456</v>
      </c>
    </row>
    <row r="86" spans="1:18" ht="38.25">
      <c r="A86" s="260" t="s">
        <v>430</v>
      </c>
      <c r="B86" s="74" t="s">
        <v>433</v>
      </c>
      <c r="C86" s="75"/>
      <c r="D86" s="74"/>
      <c r="E86" s="74" t="s">
        <v>431</v>
      </c>
      <c r="F86" s="74">
        <f>($C$86*1.6)/(13*0.92*1000)</f>
        <v>0</v>
      </c>
      <c r="G86" s="74"/>
      <c r="H86" s="74" t="s">
        <v>436</v>
      </c>
      <c r="I86" s="94"/>
      <c r="J86" s="74"/>
      <c r="K86" s="91"/>
      <c r="L86" s="91"/>
      <c r="M86" s="91"/>
      <c r="N86" s="91"/>
      <c r="O86" s="85"/>
      <c r="P86" s="101"/>
      <c r="Q86" s="93" t="s">
        <v>460</v>
      </c>
      <c r="R86" s="104">
        <v>20</v>
      </c>
    </row>
    <row r="87" spans="1:18" ht="38.25">
      <c r="A87" s="265"/>
      <c r="B87" s="76" t="s">
        <v>434</v>
      </c>
      <c r="C87" s="72"/>
      <c r="D87" s="76"/>
      <c r="E87" s="76" t="s">
        <v>432</v>
      </c>
      <c r="F87" s="76" t="e">
        <f>($C$87*1.15)/($C$88*1000)</f>
        <v>#DIV/0!</v>
      </c>
      <c r="G87" s="76"/>
      <c r="H87" s="76"/>
      <c r="I87" s="93"/>
      <c r="J87" s="76"/>
      <c r="K87" s="90"/>
      <c r="L87" s="90"/>
      <c r="M87" s="90"/>
      <c r="N87" s="90"/>
      <c r="O87" s="89"/>
      <c r="P87" s="100"/>
      <c r="Q87" s="93"/>
      <c r="R87" s="104"/>
    </row>
    <row r="88" spans="1:18" ht="39" thickBot="1">
      <c r="A88" s="261"/>
      <c r="B88" s="77" t="s">
        <v>435</v>
      </c>
      <c r="C88" s="78"/>
      <c r="D88" s="77"/>
      <c r="E88" s="77"/>
      <c r="F88" s="77"/>
      <c r="G88" s="77"/>
      <c r="H88" s="77"/>
      <c r="I88" s="95"/>
      <c r="J88" s="77"/>
      <c r="K88" s="86"/>
      <c r="L88" s="86"/>
      <c r="M88" s="86"/>
      <c r="N88" s="86"/>
      <c r="O88" s="87"/>
      <c r="P88" s="102"/>
      <c r="Q88" s="95"/>
      <c r="R88" s="109"/>
    </row>
    <row r="89" spans="9:18" ht="12.75">
      <c r="I89" s="93"/>
      <c r="J89" s="76"/>
      <c r="K89" s="90"/>
      <c r="L89" s="90"/>
      <c r="M89" s="90"/>
      <c r="N89" s="90"/>
      <c r="O89" s="89"/>
      <c r="P89" s="100"/>
      <c r="Q89" s="93"/>
      <c r="R89" s="104"/>
    </row>
    <row r="90" spans="9:18" ht="12.75">
      <c r="I90" s="93"/>
      <c r="J90" s="76"/>
      <c r="K90" s="90"/>
      <c r="L90" s="90"/>
      <c r="M90" s="90"/>
      <c r="N90" s="90"/>
      <c r="O90" s="89"/>
      <c r="P90" s="100"/>
      <c r="Q90" s="93"/>
      <c r="R90" s="104"/>
    </row>
    <row r="91" spans="1:18" ht="18">
      <c r="A91" s="259" t="s">
        <v>298</v>
      </c>
      <c r="B91" s="259"/>
      <c r="C91" s="259"/>
      <c r="D91" s="259"/>
      <c r="E91" s="259"/>
      <c r="F91" s="259"/>
      <c r="G91" s="259"/>
      <c r="H91" s="259"/>
      <c r="I91" s="259" t="s">
        <v>298</v>
      </c>
      <c r="J91" s="259"/>
      <c r="K91" s="259"/>
      <c r="L91" s="259"/>
      <c r="M91" s="259"/>
      <c r="N91" s="259"/>
      <c r="O91" s="259"/>
      <c r="P91" s="259"/>
      <c r="Q91" s="251" t="s">
        <v>298</v>
      </c>
      <c r="R91" s="252"/>
    </row>
    <row r="92" spans="1:18" ht="18">
      <c r="A92" s="84"/>
      <c r="B92" s="84"/>
      <c r="C92" s="84"/>
      <c r="D92" s="84"/>
      <c r="E92" s="84"/>
      <c r="F92" s="84"/>
      <c r="G92" s="84"/>
      <c r="H92" s="84"/>
      <c r="I92" s="93"/>
      <c r="J92" s="76"/>
      <c r="K92" s="254" t="s">
        <v>195</v>
      </c>
      <c r="L92" s="254"/>
      <c r="M92" s="254"/>
      <c r="N92" s="254"/>
      <c r="O92" s="255" t="s">
        <v>443</v>
      </c>
      <c r="P92" s="256"/>
      <c r="Q92" s="251"/>
      <c r="R92" s="252"/>
    </row>
    <row r="93" spans="1:18" ht="26.25" thickBot="1">
      <c r="A93" s="7" t="s">
        <v>233</v>
      </c>
      <c r="B93" s="7" t="s">
        <v>234</v>
      </c>
      <c r="E93" s="7" t="s">
        <v>230</v>
      </c>
      <c r="H93" s="7" t="s">
        <v>242</v>
      </c>
      <c r="I93" s="95" t="s">
        <v>233</v>
      </c>
      <c r="J93" s="77" t="s">
        <v>409</v>
      </c>
      <c r="K93" s="86" t="s">
        <v>410</v>
      </c>
      <c r="L93" s="86" t="s">
        <v>178</v>
      </c>
      <c r="M93" s="86" t="s">
        <v>411</v>
      </c>
      <c r="N93" s="86" t="s">
        <v>412</v>
      </c>
      <c r="O93" s="87" t="s">
        <v>205</v>
      </c>
      <c r="P93" s="102" t="s">
        <v>206</v>
      </c>
      <c r="Q93" s="95" t="s">
        <v>233</v>
      </c>
      <c r="R93" s="109" t="s">
        <v>456</v>
      </c>
    </row>
    <row r="94" spans="1:18" ht="26.25" thickBot="1">
      <c r="A94" s="83" t="s">
        <v>291</v>
      </c>
      <c r="B94" s="83"/>
      <c r="C94" s="83"/>
      <c r="D94" s="83"/>
      <c r="E94" s="83"/>
      <c r="F94" s="83"/>
      <c r="G94" s="83"/>
      <c r="H94" s="83" t="s">
        <v>295</v>
      </c>
      <c r="I94" s="98"/>
      <c r="J94" s="83"/>
      <c r="K94" s="92"/>
      <c r="L94" s="92"/>
      <c r="M94" s="92"/>
      <c r="N94" s="92"/>
      <c r="O94" s="99"/>
      <c r="P94" s="103"/>
      <c r="Q94" s="83" t="s">
        <v>291</v>
      </c>
      <c r="R94" s="104">
        <v>6.4</v>
      </c>
    </row>
    <row r="95" spans="1:18" ht="13.5" thickBot="1">
      <c r="A95" s="83" t="s">
        <v>292</v>
      </c>
      <c r="B95" s="83"/>
      <c r="C95" s="83"/>
      <c r="D95" s="83"/>
      <c r="E95" s="83"/>
      <c r="F95" s="83"/>
      <c r="G95" s="83"/>
      <c r="H95" s="83" t="s">
        <v>296</v>
      </c>
      <c r="I95" s="98"/>
      <c r="J95" s="83"/>
      <c r="K95" s="92"/>
      <c r="L95" s="92"/>
      <c r="M95" s="92"/>
      <c r="N95" s="92"/>
      <c r="O95" s="99"/>
      <c r="P95" s="103"/>
      <c r="Q95" s="83" t="s">
        <v>292</v>
      </c>
      <c r="R95" s="111">
        <v>10</v>
      </c>
    </row>
    <row r="96" spans="1:18" ht="13.5" thickBot="1">
      <c r="A96" s="83" t="s">
        <v>293</v>
      </c>
      <c r="B96" s="83"/>
      <c r="C96" s="83"/>
      <c r="D96" s="83"/>
      <c r="E96" s="83"/>
      <c r="F96" s="83"/>
      <c r="G96" s="83"/>
      <c r="H96" s="83" t="s">
        <v>297</v>
      </c>
      <c r="I96" s="98"/>
      <c r="J96" s="83"/>
      <c r="K96" s="92"/>
      <c r="L96" s="92"/>
      <c r="M96" s="92"/>
      <c r="N96" s="92"/>
      <c r="O96" s="99"/>
      <c r="P96" s="103"/>
      <c r="Q96" s="83" t="s">
        <v>293</v>
      </c>
      <c r="R96" s="111">
        <v>20</v>
      </c>
    </row>
    <row r="97" spans="1:18" ht="13.5" thickBot="1">
      <c r="A97" s="83" t="s">
        <v>294</v>
      </c>
      <c r="B97" s="83"/>
      <c r="C97" s="83"/>
      <c r="D97" s="83"/>
      <c r="E97" s="83"/>
      <c r="F97" s="83"/>
      <c r="G97" s="83"/>
      <c r="H97" s="83" t="s">
        <v>297</v>
      </c>
      <c r="I97" s="98"/>
      <c r="J97" s="83"/>
      <c r="K97" s="92"/>
      <c r="L97" s="92"/>
      <c r="M97" s="92"/>
      <c r="N97" s="92"/>
      <c r="O97" s="99"/>
      <c r="P97" s="103"/>
      <c r="Q97" s="83" t="s">
        <v>294</v>
      </c>
      <c r="R97" s="111">
        <v>20</v>
      </c>
    </row>
    <row r="98" spans="9:18" ht="12.75">
      <c r="I98" s="93"/>
      <c r="J98" s="76"/>
      <c r="K98" s="90"/>
      <c r="L98" s="90"/>
      <c r="M98" s="90"/>
      <c r="N98" s="90"/>
      <c r="O98" s="89"/>
      <c r="P98" s="100"/>
      <c r="Q98" s="93"/>
      <c r="R98" s="104"/>
    </row>
    <row r="99" spans="9:18" ht="12.75">
      <c r="I99" s="93"/>
      <c r="J99" s="76"/>
      <c r="K99" s="90"/>
      <c r="L99" s="90"/>
      <c r="M99" s="90"/>
      <c r="N99" s="90"/>
      <c r="O99" s="89"/>
      <c r="P99" s="100"/>
      <c r="Q99" s="93"/>
      <c r="R99" s="104"/>
    </row>
    <row r="100" spans="1:18" ht="18">
      <c r="A100" s="259" t="s">
        <v>299</v>
      </c>
      <c r="B100" s="259"/>
      <c r="C100" s="259"/>
      <c r="D100" s="259"/>
      <c r="E100" s="259"/>
      <c r="F100" s="259"/>
      <c r="G100" s="259"/>
      <c r="H100" s="259"/>
      <c r="I100" s="251" t="s">
        <v>299</v>
      </c>
      <c r="J100" s="253"/>
      <c r="K100" s="253"/>
      <c r="L100" s="253"/>
      <c r="M100" s="253"/>
      <c r="N100" s="253"/>
      <c r="O100" s="253"/>
      <c r="P100" s="252"/>
      <c r="Q100" s="251" t="s">
        <v>299</v>
      </c>
      <c r="R100" s="252"/>
    </row>
    <row r="101" spans="1:18" ht="18">
      <c r="A101" s="84"/>
      <c r="B101" s="84"/>
      <c r="C101" s="84"/>
      <c r="D101" s="84"/>
      <c r="E101" s="84"/>
      <c r="F101" s="84"/>
      <c r="G101" s="84"/>
      <c r="H101" s="84"/>
      <c r="I101" s="93"/>
      <c r="J101" s="76"/>
      <c r="K101" s="254" t="s">
        <v>195</v>
      </c>
      <c r="L101" s="254"/>
      <c r="M101" s="254"/>
      <c r="N101" s="254"/>
      <c r="O101" s="255" t="s">
        <v>443</v>
      </c>
      <c r="P101" s="256"/>
      <c r="Q101" s="251"/>
      <c r="R101" s="252"/>
    </row>
    <row r="102" spans="1:18" ht="26.25" thickBot="1">
      <c r="A102" s="7" t="s">
        <v>233</v>
      </c>
      <c r="B102" s="7" t="s">
        <v>234</v>
      </c>
      <c r="E102" s="7" t="s">
        <v>230</v>
      </c>
      <c r="H102" s="7" t="s">
        <v>242</v>
      </c>
      <c r="I102" s="95" t="s">
        <v>233</v>
      </c>
      <c r="J102" s="77" t="s">
        <v>409</v>
      </c>
      <c r="K102" s="86" t="s">
        <v>410</v>
      </c>
      <c r="L102" s="86" t="s">
        <v>178</v>
      </c>
      <c r="M102" s="86" t="s">
        <v>411</v>
      </c>
      <c r="N102" s="86" t="s">
        <v>412</v>
      </c>
      <c r="O102" s="87" t="s">
        <v>205</v>
      </c>
      <c r="P102" s="102" t="s">
        <v>206</v>
      </c>
      <c r="Q102" s="95" t="s">
        <v>233</v>
      </c>
      <c r="R102" s="109" t="s">
        <v>456</v>
      </c>
    </row>
    <row r="103" spans="1:18" ht="12.75">
      <c r="A103" s="260" t="s">
        <v>300</v>
      </c>
      <c r="B103" s="74"/>
      <c r="C103" s="74"/>
      <c r="D103" s="74"/>
      <c r="E103" s="74" t="s">
        <v>265</v>
      </c>
      <c r="F103" s="74" t="s">
        <v>302</v>
      </c>
      <c r="G103" s="74"/>
      <c r="H103" s="74"/>
      <c r="I103" s="94" t="s">
        <v>454</v>
      </c>
      <c r="J103" s="74" t="s">
        <v>418</v>
      </c>
      <c r="K103" s="91">
        <v>0.209</v>
      </c>
      <c r="L103" s="91">
        <v>0.217</v>
      </c>
      <c r="M103" s="91">
        <v>0.28</v>
      </c>
      <c r="N103" s="91">
        <v>0.294</v>
      </c>
      <c r="O103" s="85"/>
      <c r="P103" s="101"/>
      <c r="Q103" s="93" t="s">
        <v>300</v>
      </c>
      <c r="R103" s="104">
        <v>17</v>
      </c>
    </row>
    <row r="104" spans="1:18" ht="13.5" thickBot="1">
      <c r="A104" s="261"/>
      <c r="B104" s="77"/>
      <c r="C104" s="77"/>
      <c r="D104" s="77"/>
      <c r="E104" s="77" t="s">
        <v>301</v>
      </c>
      <c r="F104" s="77" t="s">
        <v>303</v>
      </c>
      <c r="G104" s="77"/>
      <c r="H104" s="77"/>
      <c r="I104" s="95"/>
      <c r="J104" s="77"/>
      <c r="K104" s="86"/>
      <c r="L104" s="86"/>
      <c r="M104" s="86"/>
      <c r="N104" s="86"/>
      <c r="O104" s="87"/>
      <c r="P104" s="102"/>
      <c r="Q104" s="93"/>
      <c r="R104" s="104"/>
    </row>
    <row r="105" spans="1:18" ht="12.75">
      <c r="A105" s="266" t="s">
        <v>304</v>
      </c>
      <c r="E105" s="7" t="s">
        <v>265</v>
      </c>
      <c r="F105" s="7" t="s">
        <v>308</v>
      </c>
      <c r="I105" s="93"/>
      <c r="J105" s="76"/>
      <c r="K105" s="90"/>
      <c r="L105" s="90"/>
      <c r="M105" s="90"/>
      <c r="N105" s="90"/>
      <c r="O105" s="89"/>
      <c r="P105" s="100"/>
      <c r="Q105" s="94"/>
      <c r="R105" s="110"/>
    </row>
    <row r="106" spans="1:18" ht="12.75">
      <c r="A106" s="266"/>
      <c r="E106" s="7" t="s">
        <v>301</v>
      </c>
      <c r="F106" s="7" t="s">
        <v>309</v>
      </c>
      <c r="H106" s="76"/>
      <c r="I106" s="93" t="s">
        <v>437</v>
      </c>
      <c r="J106" s="76" t="s">
        <v>418</v>
      </c>
      <c r="K106" s="90">
        <v>0.245</v>
      </c>
      <c r="L106" s="90">
        <v>0.128</v>
      </c>
      <c r="M106" s="90">
        <v>0.417</v>
      </c>
      <c r="N106" s="90">
        <v>0.21</v>
      </c>
      <c r="O106" s="89"/>
      <c r="P106" s="100"/>
      <c r="Q106" s="93" t="s">
        <v>437</v>
      </c>
      <c r="R106" s="104">
        <v>20</v>
      </c>
    </row>
    <row r="107" spans="1:18" ht="12.75">
      <c r="A107" s="266"/>
      <c r="E107" s="7" t="s">
        <v>305</v>
      </c>
      <c r="H107" s="76"/>
      <c r="I107" s="93"/>
      <c r="J107" s="76"/>
      <c r="K107" s="90"/>
      <c r="L107" s="90"/>
      <c r="M107" s="90"/>
      <c r="N107" s="90"/>
      <c r="O107" s="89"/>
      <c r="P107" s="100"/>
      <c r="Q107" s="93"/>
      <c r="R107" s="104"/>
    </row>
    <row r="108" spans="1:18" ht="12.75">
      <c r="A108" s="266"/>
      <c r="E108" s="7" t="s">
        <v>306</v>
      </c>
      <c r="F108" s="7" t="s">
        <v>310</v>
      </c>
      <c r="I108" s="93"/>
      <c r="J108" s="76"/>
      <c r="K108" s="90"/>
      <c r="L108" s="90"/>
      <c r="M108" s="90"/>
      <c r="N108" s="90"/>
      <c r="O108" s="89"/>
      <c r="P108" s="100"/>
      <c r="Q108" s="93"/>
      <c r="R108" s="104"/>
    </row>
    <row r="109" spans="1:18" ht="13.5" thickBot="1">
      <c r="A109" s="266"/>
      <c r="E109" s="7" t="s">
        <v>307</v>
      </c>
      <c r="F109" s="7" t="s">
        <v>311</v>
      </c>
      <c r="I109" s="93"/>
      <c r="J109" s="76"/>
      <c r="K109" s="90"/>
      <c r="L109" s="90"/>
      <c r="M109" s="90"/>
      <c r="N109" s="90"/>
      <c r="O109" s="89"/>
      <c r="P109" s="100"/>
      <c r="Q109" s="95"/>
      <c r="R109" s="109"/>
    </row>
    <row r="110" spans="1:18" ht="12.75">
      <c r="A110" s="260" t="s">
        <v>312</v>
      </c>
      <c r="B110" s="74"/>
      <c r="C110" s="74"/>
      <c r="D110" s="74"/>
      <c r="E110" s="74" t="s">
        <v>265</v>
      </c>
      <c r="F110" s="74" t="s">
        <v>313</v>
      </c>
      <c r="G110" s="74"/>
      <c r="H110" s="74"/>
      <c r="I110" s="94"/>
      <c r="J110" s="74"/>
      <c r="K110" s="91"/>
      <c r="L110" s="91"/>
      <c r="M110" s="91"/>
      <c r="N110" s="91"/>
      <c r="O110" s="85"/>
      <c r="P110" s="101"/>
      <c r="Q110" s="93"/>
      <c r="R110" s="104"/>
    </row>
    <row r="111" spans="1:18" ht="12.75">
      <c r="A111" s="265"/>
      <c r="B111" s="76"/>
      <c r="C111" s="76"/>
      <c r="D111" s="76"/>
      <c r="E111" s="76" t="s">
        <v>301</v>
      </c>
      <c r="F111" s="76" t="s">
        <v>302</v>
      </c>
      <c r="G111" s="76"/>
      <c r="H111" s="76"/>
      <c r="I111" s="93" t="s">
        <v>438</v>
      </c>
      <c r="J111" s="76" t="s">
        <v>418</v>
      </c>
      <c r="K111" s="90">
        <v>0.198</v>
      </c>
      <c r="L111" s="90">
        <v>0.218</v>
      </c>
      <c r="M111" s="90">
        <v>0.278</v>
      </c>
      <c r="N111" s="90">
        <v>0.306</v>
      </c>
      <c r="O111" s="89"/>
      <c r="P111" s="100"/>
      <c r="Q111" s="93" t="s">
        <v>457</v>
      </c>
      <c r="R111" s="104">
        <v>13</v>
      </c>
    </row>
    <row r="112" spans="1:18" ht="12.75">
      <c r="A112" s="265"/>
      <c r="B112" s="76"/>
      <c r="C112" s="76"/>
      <c r="D112" s="76"/>
      <c r="E112" s="76" t="s">
        <v>305</v>
      </c>
      <c r="F112" s="76"/>
      <c r="G112" s="76"/>
      <c r="H112" s="76"/>
      <c r="I112" s="93" t="s">
        <v>438</v>
      </c>
      <c r="J112" s="76" t="s">
        <v>419</v>
      </c>
      <c r="K112" s="90"/>
      <c r="L112" s="90"/>
      <c r="M112" s="90"/>
      <c r="N112" s="90"/>
      <c r="O112" s="89">
        <v>0.5</v>
      </c>
      <c r="P112" s="100">
        <v>0.5</v>
      </c>
      <c r="Q112" s="93"/>
      <c r="R112" s="104"/>
    </row>
    <row r="113" spans="1:18" ht="12.75">
      <c r="A113" s="265"/>
      <c r="B113" s="76"/>
      <c r="C113" s="76"/>
      <c r="D113" s="76"/>
      <c r="E113" s="76" t="s">
        <v>306</v>
      </c>
      <c r="F113" s="76">
        <v>1</v>
      </c>
      <c r="G113" s="76"/>
      <c r="H113" s="76"/>
      <c r="I113" s="93"/>
      <c r="J113" s="76"/>
      <c r="K113" s="90"/>
      <c r="L113" s="90"/>
      <c r="M113" s="90"/>
      <c r="N113" s="90"/>
      <c r="O113" s="89"/>
      <c r="P113" s="100"/>
      <c r="Q113" s="93"/>
      <c r="R113" s="104"/>
    </row>
    <row r="114" spans="1:18" ht="13.5" thickBot="1">
      <c r="A114" s="261"/>
      <c r="B114" s="77"/>
      <c r="C114" s="77"/>
      <c r="D114" s="77"/>
      <c r="E114" s="77" t="s">
        <v>307</v>
      </c>
      <c r="F114" s="77" t="s">
        <v>314</v>
      </c>
      <c r="G114" s="77"/>
      <c r="H114" s="77"/>
      <c r="I114" s="95"/>
      <c r="J114" s="77"/>
      <c r="K114" s="86"/>
      <c r="L114" s="86"/>
      <c r="M114" s="86"/>
      <c r="N114" s="86"/>
      <c r="O114" s="87"/>
      <c r="P114" s="102"/>
      <c r="Q114" s="93"/>
      <c r="R114" s="104"/>
    </row>
    <row r="115" spans="1:18" ht="12.75">
      <c r="A115" s="260" t="s">
        <v>315</v>
      </c>
      <c r="B115" s="74"/>
      <c r="C115" s="74"/>
      <c r="D115" s="74"/>
      <c r="E115" s="74" t="s">
        <v>265</v>
      </c>
      <c r="F115" s="74" t="s">
        <v>316</v>
      </c>
      <c r="G115" s="74"/>
      <c r="H115" s="74"/>
      <c r="I115" s="93" t="s">
        <v>315</v>
      </c>
      <c r="J115" s="76" t="s">
        <v>418</v>
      </c>
      <c r="K115" s="90">
        <v>0.651</v>
      </c>
      <c r="L115" s="90">
        <v>0.349</v>
      </c>
      <c r="M115" s="90">
        <v>0</v>
      </c>
      <c r="N115" s="90">
        <v>0</v>
      </c>
      <c r="O115" s="89"/>
      <c r="P115" s="100"/>
      <c r="Q115" s="94" t="s">
        <v>458</v>
      </c>
      <c r="R115" s="110">
        <v>10</v>
      </c>
    </row>
    <row r="116" spans="1:18" ht="13.5" thickBot="1">
      <c r="A116" s="261"/>
      <c r="B116" s="77"/>
      <c r="C116" s="77"/>
      <c r="D116" s="77"/>
      <c r="E116" s="77" t="s">
        <v>301</v>
      </c>
      <c r="F116" s="77">
        <f>0.1018*0.58</f>
        <v>0.059044</v>
      </c>
      <c r="G116" s="77"/>
      <c r="H116" s="77"/>
      <c r="I116" s="93"/>
      <c r="J116" s="76"/>
      <c r="K116" s="90"/>
      <c r="L116" s="90"/>
      <c r="M116" s="90"/>
      <c r="N116" s="90"/>
      <c r="O116" s="89"/>
      <c r="P116" s="100"/>
      <c r="Q116" s="95"/>
      <c r="R116" s="109"/>
    </row>
    <row r="117" spans="9:18" ht="12.75">
      <c r="I117" s="94"/>
      <c r="J117" s="74"/>
      <c r="K117" s="91"/>
      <c r="L117" s="91"/>
      <c r="M117" s="91"/>
      <c r="N117" s="91"/>
      <c r="O117" s="85"/>
      <c r="P117" s="101"/>
      <c r="Q117" s="93"/>
      <c r="R117" s="104"/>
    </row>
    <row r="118" spans="9:18" ht="12.75">
      <c r="I118" s="93"/>
      <c r="J118" s="76"/>
      <c r="K118" s="90"/>
      <c r="L118" s="90"/>
      <c r="M118" s="90"/>
      <c r="N118" s="90"/>
      <c r="O118" s="89"/>
      <c r="P118" s="100"/>
      <c r="Q118" s="93"/>
      <c r="R118" s="104"/>
    </row>
    <row r="119" spans="1:18" ht="18">
      <c r="A119" s="259" t="s">
        <v>317</v>
      </c>
      <c r="B119" s="259"/>
      <c r="C119" s="259"/>
      <c r="D119" s="259"/>
      <c r="E119" s="259"/>
      <c r="F119" s="259"/>
      <c r="G119" s="259"/>
      <c r="H119" s="259"/>
      <c r="I119" s="251" t="s">
        <v>317</v>
      </c>
      <c r="J119" s="253"/>
      <c r="K119" s="253"/>
      <c r="L119" s="253"/>
      <c r="M119" s="253"/>
      <c r="N119" s="253"/>
      <c r="O119" s="253"/>
      <c r="P119" s="252"/>
      <c r="Q119" s="251" t="s">
        <v>467</v>
      </c>
      <c r="R119" s="252"/>
    </row>
    <row r="120" spans="1:18" ht="18">
      <c r="A120" s="84"/>
      <c r="B120" s="84"/>
      <c r="C120" s="84"/>
      <c r="D120" s="84"/>
      <c r="E120" s="84"/>
      <c r="F120" s="84"/>
      <c r="G120" s="84"/>
      <c r="H120" s="84"/>
      <c r="I120" s="93"/>
      <c r="J120" s="76"/>
      <c r="K120" s="254" t="s">
        <v>195</v>
      </c>
      <c r="L120" s="254"/>
      <c r="M120" s="254"/>
      <c r="N120" s="254"/>
      <c r="O120" s="255" t="s">
        <v>443</v>
      </c>
      <c r="P120" s="256"/>
      <c r="Q120" s="251"/>
      <c r="R120" s="252"/>
    </row>
    <row r="121" spans="1:18" ht="26.25" thickBot="1">
      <c r="A121" s="7" t="s">
        <v>233</v>
      </c>
      <c r="B121" s="7" t="s">
        <v>234</v>
      </c>
      <c r="E121" s="7" t="s">
        <v>230</v>
      </c>
      <c r="H121" s="7" t="s">
        <v>242</v>
      </c>
      <c r="I121" s="95" t="s">
        <v>233</v>
      </c>
      <c r="J121" s="77" t="s">
        <v>409</v>
      </c>
      <c r="K121" s="86" t="s">
        <v>410</v>
      </c>
      <c r="L121" s="86" t="s">
        <v>178</v>
      </c>
      <c r="M121" s="86" t="s">
        <v>411</v>
      </c>
      <c r="N121" s="86" t="s">
        <v>412</v>
      </c>
      <c r="O121" s="87" t="s">
        <v>205</v>
      </c>
      <c r="P121" s="102" t="s">
        <v>206</v>
      </c>
      <c r="Q121" s="95" t="s">
        <v>233</v>
      </c>
      <c r="R121" s="109" t="s">
        <v>456</v>
      </c>
    </row>
    <row r="122" spans="1:18" ht="12.75">
      <c r="A122" s="260" t="s">
        <v>318</v>
      </c>
      <c r="B122" s="74" t="s">
        <v>319</v>
      </c>
      <c r="C122" s="75"/>
      <c r="D122" s="74"/>
      <c r="E122" s="74" t="s">
        <v>323</v>
      </c>
      <c r="F122" s="74">
        <f>($C$122-$C$123)*$C$124*(1+0.05)</f>
        <v>0</v>
      </c>
      <c r="G122" s="74"/>
      <c r="H122" s="260" t="s">
        <v>439</v>
      </c>
      <c r="I122" s="93"/>
      <c r="J122" s="76"/>
      <c r="K122" s="90"/>
      <c r="L122" s="90"/>
      <c r="M122" s="90"/>
      <c r="N122" s="90"/>
      <c r="O122" s="89"/>
      <c r="P122" s="100"/>
      <c r="Q122" s="93"/>
      <c r="R122" s="104"/>
    </row>
    <row r="123" spans="1:18" ht="25.5">
      <c r="A123" s="265"/>
      <c r="B123" s="76" t="s">
        <v>320</v>
      </c>
      <c r="C123" s="72"/>
      <c r="D123" s="76"/>
      <c r="E123" s="76" t="s">
        <v>324</v>
      </c>
      <c r="F123" s="76">
        <f>($C$122-$C$123)*$C$125*(1+0.05)</f>
        <v>0</v>
      </c>
      <c r="G123" s="76"/>
      <c r="H123" s="265"/>
      <c r="I123" s="93" t="s">
        <v>318</v>
      </c>
      <c r="J123" s="76" t="s">
        <v>418</v>
      </c>
      <c r="K123" s="90">
        <v>0.26</v>
      </c>
      <c r="L123" s="90">
        <v>0.16</v>
      </c>
      <c r="M123" s="90">
        <v>0.36</v>
      </c>
      <c r="N123" s="90">
        <v>0.22</v>
      </c>
      <c r="O123" s="89"/>
      <c r="P123" s="100"/>
      <c r="Q123" s="93" t="s">
        <v>468</v>
      </c>
      <c r="R123" s="104">
        <v>15</v>
      </c>
    </row>
    <row r="124" spans="1:18" ht="25.5">
      <c r="A124" s="265"/>
      <c r="B124" s="76" t="s">
        <v>321</v>
      </c>
      <c r="C124" s="72"/>
      <c r="D124" s="76"/>
      <c r="E124" s="76"/>
      <c r="F124" s="76"/>
      <c r="G124" s="76"/>
      <c r="H124" s="76"/>
      <c r="I124" s="93"/>
      <c r="J124" s="76"/>
      <c r="K124" s="90"/>
      <c r="L124" s="90"/>
      <c r="M124" s="90"/>
      <c r="N124" s="90"/>
      <c r="O124" s="89"/>
      <c r="P124" s="100"/>
      <c r="Q124" s="93" t="s">
        <v>469</v>
      </c>
      <c r="R124" s="104">
        <v>15</v>
      </c>
    </row>
    <row r="125" spans="1:18" ht="26.25" thickBot="1">
      <c r="A125" s="261"/>
      <c r="B125" s="77" t="s">
        <v>322</v>
      </c>
      <c r="C125" s="78"/>
      <c r="D125" s="77"/>
      <c r="E125" s="77"/>
      <c r="F125" s="77"/>
      <c r="G125" s="77"/>
      <c r="H125" s="77"/>
      <c r="I125" s="93"/>
      <c r="J125" s="76"/>
      <c r="K125" s="90"/>
      <c r="L125" s="90"/>
      <c r="M125" s="90"/>
      <c r="N125" s="90"/>
      <c r="O125" s="89"/>
      <c r="P125" s="100"/>
      <c r="Q125" s="93"/>
      <c r="R125" s="104"/>
    </row>
    <row r="126" spans="1:18" ht="12.75">
      <c r="A126" s="266" t="s">
        <v>325</v>
      </c>
      <c r="B126" s="7" t="s">
        <v>319</v>
      </c>
      <c r="C126" s="73"/>
      <c r="E126" s="7" t="s">
        <v>323</v>
      </c>
      <c r="F126" s="7">
        <f>($C$126-$C$127)*0.775</f>
        <v>0</v>
      </c>
      <c r="H126" s="266" t="s">
        <v>327</v>
      </c>
      <c r="I126" s="94"/>
      <c r="J126" s="74"/>
      <c r="K126" s="91"/>
      <c r="L126" s="91"/>
      <c r="M126" s="91"/>
      <c r="N126" s="91"/>
      <c r="O126" s="85"/>
      <c r="P126" s="101"/>
      <c r="Q126" s="94"/>
      <c r="R126" s="110"/>
    </row>
    <row r="127" spans="1:18" ht="26.25" thickBot="1">
      <c r="A127" s="266"/>
      <c r="B127" s="7" t="s">
        <v>326</v>
      </c>
      <c r="C127" s="79"/>
      <c r="E127" s="7" t="s">
        <v>324</v>
      </c>
      <c r="F127" s="7">
        <f>($C$126-$C$127)*3677</f>
        <v>0</v>
      </c>
      <c r="H127" s="266"/>
      <c r="I127" s="95"/>
      <c r="J127" s="77"/>
      <c r="K127" s="86"/>
      <c r="L127" s="86"/>
      <c r="M127" s="86"/>
      <c r="N127" s="86"/>
      <c r="O127" s="87"/>
      <c r="P127" s="102"/>
      <c r="Q127" s="95" t="s">
        <v>325</v>
      </c>
      <c r="R127" s="109"/>
    </row>
    <row r="128" spans="1:18" ht="25.5">
      <c r="A128" s="260" t="s">
        <v>328</v>
      </c>
      <c r="B128" s="74" t="s">
        <v>329</v>
      </c>
      <c r="C128" s="75"/>
      <c r="D128" s="74"/>
      <c r="E128" s="74" t="s">
        <v>323</v>
      </c>
      <c r="F128" s="74">
        <f>$C$128*0.4*$C$129</f>
        <v>0</v>
      </c>
      <c r="G128" s="74"/>
      <c r="H128" s="74" t="s">
        <v>330</v>
      </c>
      <c r="I128" s="93"/>
      <c r="J128" s="76"/>
      <c r="K128" s="90"/>
      <c r="L128" s="90"/>
      <c r="M128" s="90"/>
      <c r="N128" s="90"/>
      <c r="O128" s="89"/>
      <c r="P128" s="100"/>
      <c r="Q128" s="93"/>
      <c r="R128" s="104"/>
    </row>
    <row r="129" spans="1:18" ht="25.5">
      <c r="A129" s="265"/>
      <c r="B129" s="76" t="s">
        <v>321</v>
      </c>
      <c r="C129" s="72"/>
      <c r="D129" s="76"/>
      <c r="E129" s="76" t="s">
        <v>324</v>
      </c>
      <c r="F129" s="76">
        <f>$C$128*0.4*$C$130*(1+0.05)</f>
        <v>0</v>
      </c>
      <c r="G129" s="76"/>
      <c r="H129" s="76" t="s">
        <v>331</v>
      </c>
      <c r="I129" s="93" t="s">
        <v>328</v>
      </c>
      <c r="J129" s="76" t="s">
        <v>418</v>
      </c>
      <c r="K129" s="90">
        <v>0.26</v>
      </c>
      <c r="L129" s="90">
        <v>0.16</v>
      </c>
      <c r="M129" s="90">
        <v>0.36</v>
      </c>
      <c r="N129" s="90">
        <v>0.22</v>
      </c>
      <c r="O129" s="89"/>
      <c r="P129" s="100"/>
      <c r="Q129" s="93" t="s">
        <v>328</v>
      </c>
      <c r="R129" s="104"/>
    </row>
    <row r="130" spans="1:18" ht="26.25" thickBot="1">
      <c r="A130" s="261"/>
      <c r="B130" s="77" t="s">
        <v>322</v>
      </c>
      <c r="C130" s="78"/>
      <c r="D130" s="77"/>
      <c r="E130" s="77"/>
      <c r="F130" s="77"/>
      <c r="G130" s="77"/>
      <c r="H130" s="77"/>
      <c r="I130" s="93"/>
      <c r="J130" s="76"/>
      <c r="K130" s="90"/>
      <c r="L130" s="90"/>
      <c r="M130" s="90"/>
      <c r="N130" s="90"/>
      <c r="O130" s="89"/>
      <c r="P130" s="100"/>
      <c r="Q130" s="93"/>
      <c r="R130" s="104"/>
    </row>
    <row r="131" spans="1:18" ht="25.5">
      <c r="A131" s="260" t="s">
        <v>332</v>
      </c>
      <c r="B131" s="74" t="s">
        <v>335</v>
      </c>
      <c r="C131" s="75"/>
      <c r="D131" s="74"/>
      <c r="E131" s="74" t="s">
        <v>334</v>
      </c>
      <c r="F131" s="74" t="e">
        <f>$C$131*0.7456*(1/$C$132-1/$C$133)</f>
        <v>#DIV/0!</v>
      </c>
      <c r="G131" s="74"/>
      <c r="H131" s="74" t="s">
        <v>333</v>
      </c>
      <c r="I131" s="94"/>
      <c r="J131" s="74"/>
      <c r="K131" s="91"/>
      <c r="L131" s="91"/>
      <c r="M131" s="91"/>
      <c r="N131" s="91"/>
      <c r="O131" s="85"/>
      <c r="P131" s="101"/>
      <c r="Q131" s="94" t="s">
        <v>471</v>
      </c>
      <c r="R131" s="110">
        <v>20</v>
      </c>
    </row>
    <row r="132" spans="1:18" ht="25.5">
      <c r="A132" s="265"/>
      <c r="B132" s="76" t="s">
        <v>340</v>
      </c>
      <c r="C132" s="72"/>
      <c r="D132" s="76"/>
      <c r="E132" s="76" t="s">
        <v>323</v>
      </c>
      <c r="F132" s="76" t="e">
        <f>$F$131*0.35</f>
        <v>#DIV/0!</v>
      </c>
      <c r="G132" s="76"/>
      <c r="H132" s="76" t="s">
        <v>346</v>
      </c>
      <c r="I132" s="93" t="s">
        <v>332</v>
      </c>
      <c r="J132" s="76" t="s">
        <v>418</v>
      </c>
      <c r="K132" s="90">
        <v>0.25</v>
      </c>
      <c r="L132" s="90">
        <v>0.16</v>
      </c>
      <c r="M132" s="90">
        <v>0.36</v>
      </c>
      <c r="N132" s="90">
        <v>0.23</v>
      </c>
      <c r="O132" s="89"/>
      <c r="P132" s="100"/>
      <c r="Q132" s="93" t="s">
        <v>472</v>
      </c>
      <c r="R132" s="104">
        <v>20</v>
      </c>
    </row>
    <row r="133" spans="1:18" ht="25.5">
      <c r="A133" s="265"/>
      <c r="B133" s="76" t="s">
        <v>341</v>
      </c>
      <c r="C133" s="72"/>
      <c r="D133" s="76"/>
      <c r="E133" s="76" t="s">
        <v>324</v>
      </c>
      <c r="F133" s="76" t="e">
        <f>$F$131*IF($C$134="C",2502,4599)</f>
        <v>#DIV/0!</v>
      </c>
      <c r="G133" s="76"/>
      <c r="H133" s="76"/>
      <c r="I133" s="93"/>
      <c r="J133" s="76"/>
      <c r="K133" s="90"/>
      <c r="L133" s="90"/>
      <c r="M133" s="90"/>
      <c r="N133" s="90"/>
      <c r="O133" s="89"/>
      <c r="P133" s="100"/>
      <c r="Q133" s="93"/>
      <c r="R133" s="104"/>
    </row>
    <row r="134" spans="1:18" ht="13.5" thickBot="1">
      <c r="A134" s="261"/>
      <c r="B134" s="77" t="s">
        <v>337</v>
      </c>
      <c r="C134" s="78"/>
      <c r="D134" s="77"/>
      <c r="E134" s="77"/>
      <c r="F134" s="77"/>
      <c r="G134" s="77"/>
      <c r="H134" s="77"/>
      <c r="I134" s="95"/>
      <c r="J134" s="77"/>
      <c r="K134" s="86"/>
      <c r="L134" s="86"/>
      <c r="M134" s="86"/>
      <c r="N134" s="86"/>
      <c r="O134" s="87"/>
      <c r="P134" s="102"/>
      <c r="Q134" s="95"/>
      <c r="R134" s="109"/>
    </row>
    <row r="135" spans="1:18" ht="25.5">
      <c r="A135" s="260" t="s">
        <v>338</v>
      </c>
      <c r="B135" s="74" t="s">
        <v>339</v>
      </c>
      <c r="C135" s="75"/>
      <c r="D135" s="74"/>
      <c r="E135" s="74" t="s">
        <v>342</v>
      </c>
      <c r="F135" s="74" t="e">
        <f>($C$135/1000)*(1/$C$136-1/$C$137)*0.67</f>
        <v>#DIV/0!</v>
      </c>
      <c r="G135" s="74"/>
      <c r="H135" s="74" t="s">
        <v>347</v>
      </c>
      <c r="I135" s="93"/>
      <c r="J135" s="76"/>
      <c r="K135" s="90">
        <v>0.45</v>
      </c>
      <c r="L135" s="90">
        <v>0.39</v>
      </c>
      <c r="M135" s="90">
        <v>0.07</v>
      </c>
      <c r="N135" s="90">
        <v>0.09</v>
      </c>
      <c r="O135" s="89"/>
      <c r="P135" s="100"/>
      <c r="Q135" s="93" t="s">
        <v>470</v>
      </c>
      <c r="R135" s="104">
        <v>15</v>
      </c>
    </row>
    <row r="136" spans="1:18" ht="25.5">
      <c r="A136" s="265"/>
      <c r="B136" s="76" t="s">
        <v>340</v>
      </c>
      <c r="C136" s="72"/>
      <c r="D136" s="76"/>
      <c r="E136" s="76" t="s">
        <v>343</v>
      </c>
      <c r="F136" s="76" t="e">
        <f>($C$135/1000)*(1/$C$136-1/$C$137)*1131</f>
        <v>#DIV/0!</v>
      </c>
      <c r="G136" s="76"/>
      <c r="H136" s="76"/>
      <c r="I136" s="93" t="s">
        <v>338</v>
      </c>
      <c r="J136" s="76" t="s">
        <v>416</v>
      </c>
      <c r="K136" s="90">
        <v>0</v>
      </c>
      <c r="L136" s="90">
        <v>0</v>
      </c>
      <c r="M136" s="90">
        <v>0.41</v>
      </c>
      <c r="N136" s="90">
        <v>0.59</v>
      </c>
      <c r="O136" s="89"/>
      <c r="P136" s="100"/>
      <c r="Q136" s="93" t="s">
        <v>473</v>
      </c>
      <c r="R136" s="104">
        <v>15</v>
      </c>
    </row>
    <row r="137" spans="1:18" ht="25.5">
      <c r="A137" s="265"/>
      <c r="B137" s="76" t="s">
        <v>341</v>
      </c>
      <c r="C137" s="72"/>
      <c r="D137" s="76"/>
      <c r="E137" s="76" t="s">
        <v>344</v>
      </c>
      <c r="F137" s="76" t="e">
        <f>($C$135/1000)*(1/$C$136-1/$C$137)*381</f>
        <v>#DIV/0!</v>
      </c>
      <c r="G137" s="76"/>
      <c r="H137" s="76"/>
      <c r="I137" s="93" t="s">
        <v>338</v>
      </c>
      <c r="J137" s="76" t="s">
        <v>414</v>
      </c>
      <c r="O137" s="89"/>
      <c r="P137" s="100"/>
      <c r="Q137" s="93"/>
      <c r="R137" s="104"/>
    </row>
    <row r="138" spans="1:18" ht="26.25" thickBot="1">
      <c r="A138" s="261"/>
      <c r="B138" s="77"/>
      <c r="C138" s="77"/>
      <c r="D138" s="77"/>
      <c r="E138" s="77" t="s">
        <v>345</v>
      </c>
      <c r="F138" s="77" t="e">
        <f>($C$135/1000)*(1/$C$136-1/$C$137)*800</f>
        <v>#DIV/0!</v>
      </c>
      <c r="G138" s="77"/>
      <c r="H138" s="77"/>
      <c r="I138" s="93"/>
      <c r="J138" s="76"/>
      <c r="K138" s="90"/>
      <c r="L138" s="90"/>
      <c r="M138" s="90"/>
      <c r="N138" s="90"/>
      <c r="O138" s="89"/>
      <c r="P138" s="100"/>
      <c r="Q138" s="93"/>
      <c r="R138" s="104"/>
    </row>
    <row r="139" spans="1:18" ht="25.5">
      <c r="A139" s="260" t="s">
        <v>348</v>
      </c>
      <c r="B139" s="74" t="s">
        <v>349</v>
      </c>
      <c r="C139" s="75"/>
      <c r="D139" s="74"/>
      <c r="E139" s="74" t="s">
        <v>323</v>
      </c>
      <c r="F139" s="74">
        <f>$C$139*($C$140-$C$141)*0.67</f>
        <v>0</v>
      </c>
      <c r="G139" s="74"/>
      <c r="H139" s="74"/>
      <c r="I139" s="94"/>
      <c r="J139" s="74"/>
      <c r="K139" s="91"/>
      <c r="L139" s="91"/>
      <c r="M139" s="91"/>
      <c r="N139" s="91"/>
      <c r="O139" s="85"/>
      <c r="P139" s="101"/>
      <c r="Q139" s="94" t="s">
        <v>474</v>
      </c>
      <c r="R139" s="110">
        <v>25</v>
      </c>
    </row>
    <row r="140" spans="1:18" ht="25.5">
      <c r="A140" s="265"/>
      <c r="B140" s="76" t="s">
        <v>351</v>
      </c>
      <c r="C140" s="72"/>
      <c r="D140" s="76"/>
      <c r="E140" s="76" t="s">
        <v>324</v>
      </c>
      <c r="F140" s="76">
        <f>$C$139*($C$140-$C$141)*1360</f>
        <v>0</v>
      </c>
      <c r="G140" s="76"/>
      <c r="H140" s="76" t="s">
        <v>352</v>
      </c>
      <c r="I140" s="93" t="s">
        <v>348</v>
      </c>
      <c r="J140" s="76" t="s">
        <v>418</v>
      </c>
      <c r="K140" s="90">
        <v>0.45</v>
      </c>
      <c r="L140" s="90">
        <v>0.39</v>
      </c>
      <c r="M140" s="90">
        <v>0.07</v>
      </c>
      <c r="N140" s="90">
        <v>0.09</v>
      </c>
      <c r="O140" s="89"/>
      <c r="P140" s="100"/>
      <c r="Q140" s="93" t="s">
        <v>475</v>
      </c>
      <c r="R140" s="104">
        <v>25</v>
      </c>
    </row>
    <row r="141" spans="1:18" ht="26.25" thickBot="1">
      <c r="A141" s="261"/>
      <c r="B141" s="77" t="s">
        <v>350</v>
      </c>
      <c r="C141" s="78"/>
      <c r="D141" s="77"/>
      <c r="E141" s="77"/>
      <c r="F141" s="77"/>
      <c r="G141" s="77"/>
      <c r="H141" s="76"/>
      <c r="I141" s="95"/>
      <c r="J141" s="77"/>
      <c r="K141" s="86"/>
      <c r="L141" s="86"/>
      <c r="M141" s="86"/>
      <c r="N141" s="86"/>
      <c r="O141" s="87"/>
      <c r="P141" s="102"/>
      <c r="Q141" s="95"/>
      <c r="R141" s="109"/>
    </row>
    <row r="142" spans="1:18" ht="12.75">
      <c r="A142" s="260" t="s">
        <v>353</v>
      </c>
      <c r="B142" s="74" t="s">
        <v>354</v>
      </c>
      <c r="C142" s="75"/>
      <c r="D142" s="74"/>
      <c r="E142" s="74" t="s">
        <v>324</v>
      </c>
      <c r="F142" s="74">
        <f>$C$142*IF($C$143="Air Handler",1653,1360)</f>
        <v>0</v>
      </c>
      <c r="G142" s="74"/>
      <c r="H142" s="74"/>
      <c r="I142" s="93"/>
      <c r="J142" s="76"/>
      <c r="K142" s="90"/>
      <c r="L142" s="90"/>
      <c r="M142" s="90"/>
      <c r="N142" s="90"/>
      <c r="O142" s="89"/>
      <c r="P142" s="100"/>
      <c r="Q142" s="93" t="s">
        <v>476</v>
      </c>
      <c r="R142" s="104">
        <v>15</v>
      </c>
    </row>
    <row r="143" spans="1:18" ht="39" thickBot="1">
      <c r="A143" s="261"/>
      <c r="B143" s="77" t="s">
        <v>355</v>
      </c>
      <c r="C143" s="78"/>
      <c r="D143" s="77"/>
      <c r="E143" s="77"/>
      <c r="F143" s="77"/>
      <c r="G143" s="77"/>
      <c r="H143" s="77"/>
      <c r="I143" s="93" t="s">
        <v>455</v>
      </c>
      <c r="J143" s="76" t="s">
        <v>418</v>
      </c>
      <c r="K143" s="90">
        <v>0.22</v>
      </c>
      <c r="L143" s="90">
        <v>0.39</v>
      </c>
      <c r="M143" s="90">
        <v>0.07</v>
      </c>
      <c r="N143" s="90">
        <v>0.09</v>
      </c>
      <c r="O143" s="89"/>
      <c r="P143" s="100"/>
      <c r="Q143" s="95" t="s">
        <v>477</v>
      </c>
      <c r="R143" s="109">
        <v>15</v>
      </c>
    </row>
    <row r="144" spans="9:18" ht="12.75">
      <c r="I144" s="94"/>
      <c r="J144" s="74"/>
      <c r="K144" s="91"/>
      <c r="L144" s="91"/>
      <c r="M144" s="91"/>
      <c r="N144" s="91"/>
      <c r="O144" s="85"/>
      <c r="P144" s="101"/>
      <c r="Q144" s="93"/>
      <c r="R144" s="104"/>
    </row>
    <row r="145" spans="9:18" ht="12.75">
      <c r="I145" s="93"/>
      <c r="J145" s="76"/>
      <c r="K145" s="90"/>
      <c r="L145" s="90"/>
      <c r="M145" s="90"/>
      <c r="N145" s="90"/>
      <c r="O145" s="89"/>
      <c r="P145" s="100"/>
      <c r="Q145" s="93"/>
      <c r="R145" s="104"/>
    </row>
    <row r="146" spans="1:18" ht="18">
      <c r="A146" s="259" t="s">
        <v>356</v>
      </c>
      <c r="B146" s="259"/>
      <c r="C146" s="259"/>
      <c r="D146" s="259"/>
      <c r="E146" s="259"/>
      <c r="F146" s="259"/>
      <c r="G146" s="259"/>
      <c r="H146" s="259"/>
      <c r="I146" s="251" t="s">
        <v>356</v>
      </c>
      <c r="J146" s="253"/>
      <c r="K146" s="253"/>
      <c r="L146" s="253"/>
      <c r="M146" s="253"/>
      <c r="N146" s="253"/>
      <c r="O146" s="253"/>
      <c r="P146" s="252"/>
      <c r="Q146" s="251" t="s">
        <v>478</v>
      </c>
      <c r="R146" s="252"/>
    </row>
    <row r="147" spans="1:18" ht="18">
      <c r="A147" s="84"/>
      <c r="B147" s="84"/>
      <c r="C147" s="84"/>
      <c r="D147" s="84"/>
      <c r="E147" s="84"/>
      <c r="F147" s="84"/>
      <c r="G147" s="84"/>
      <c r="H147" s="84"/>
      <c r="I147" s="93"/>
      <c r="J147" s="76"/>
      <c r="K147" s="254" t="s">
        <v>195</v>
      </c>
      <c r="L147" s="254"/>
      <c r="M147" s="254"/>
      <c r="N147" s="254"/>
      <c r="O147" s="255" t="s">
        <v>443</v>
      </c>
      <c r="P147" s="256"/>
      <c r="Q147" s="251"/>
      <c r="R147" s="252"/>
    </row>
    <row r="148" spans="1:18" ht="26.25" thickBot="1">
      <c r="A148" s="7" t="s">
        <v>233</v>
      </c>
      <c r="B148" s="7" t="s">
        <v>234</v>
      </c>
      <c r="E148" s="7" t="s">
        <v>230</v>
      </c>
      <c r="H148" s="7" t="s">
        <v>242</v>
      </c>
      <c r="I148" s="95" t="s">
        <v>233</v>
      </c>
      <c r="J148" s="77" t="s">
        <v>409</v>
      </c>
      <c r="K148" s="86" t="s">
        <v>410</v>
      </c>
      <c r="L148" s="86" t="s">
        <v>178</v>
      </c>
      <c r="M148" s="86" t="s">
        <v>411</v>
      </c>
      <c r="N148" s="86" t="s">
        <v>412</v>
      </c>
      <c r="O148" s="87" t="s">
        <v>205</v>
      </c>
      <c r="P148" s="102" t="s">
        <v>206</v>
      </c>
      <c r="Q148" s="95" t="s">
        <v>233</v>
      </c>
      <c r="R148" s="109" t="s">
        <v>456</v>
      </c>
    </row>
    <row r="149" spans="1:18" ht="25.5">
      <c r="A149" s="260" t="s">
        <v>357</v>
      </c>
      <c r="B149" s="74" t="s">
        <v>364</v>
      </c>
      <c r="C149" s="75"/>
      <c r="D149" s="74"/>
      <c r="E149" s="74" t="s">
        <v>359</v>
      </c>
      <c r="F149" s="74" t="e">
        <f>($C$149-0.75)/$C$149*$C$151*1360</f>
        <v>#DIV/0!</v>
      </c>
      <c r="G149" s="74"/>
      <c r="H149" s="74" t="s">
        <v>358</v>
      </c>
      <c r="I149" s="93"/>
      <c r="J149" s="76"/>
      <c r="K149" s="90"/>
      <c r="L149" s="90"/>
      <c r="M149" s="90"/>
      <c r="N149" s="90"/>
      <c r="O149" s="89"/>
      <c r="P149" s="100"/>
      <c r="Q149" s="93" t="s">
        <v>479</v>
      </c>
      <c r="R149" s="104">
        <v>15</v>
      </c>
    </row>
    <row r="150" spans="1:18" ht="25.5">
      <c r="A150" s="265"/>
      <c r="B150" s="76" t="s">
        <v>336</v>
      </c>
      <c r="C150" s="72"/>
      <c r="D150" s="76"/>
      <c r="E150" s="76" t="s">
        <v>360</v>
      </c>
      <c r="F150" s="76">
        <f>$C$152*($C$150-$C$154)*0.67</f>
        <v>0</v>
      </c>
      <c r="G150" s="76"/>
      <c r="H150" s="76"/>
      <c r="I150" s="93" t="s">
        <v>357</v>
      </c>
      <c r="J150" s="76" t="s">
        <v>418</v>
      </c>
      <c r="K150" s="90">
        <v>0.45</v>
      </c>
      <c r="L150" s="90">
        <v>0.39</v>
      </c>
      <c r="M150" s="90">
        <v>0.07</v>
      </c>
      <c r="N150" s="90">
        <v>0.09</v>
      </c>
      <c r="O150" s="89"/>
      <c r="P150" s="100"/>
      <c r="Q150" s="93" t="s">
        <v>480</v>
      </c>
      <c r="R150" s="104">
        <v>15</v>
      </c>
    </row>
    <row r="151" spans="1:18" ht="25.5">
      <c r="A151" s="265"/>
      <c r="B151" s="76" t="s">
        <v>365</v>
      </c>
      <c r="C151" s="72"/>
      <c r="D151" s="76"/>
      <c r="E151" s="76" t="s">
        <v>361</v>
      </c>
      <c r="F151" s="76">
        <f>$C$152*($C$150-$C$154)*1360</f>
        <v>0</v>
      </c>
      <c r="G151" s="76"/>
      <c r="H151" s="76" t="s">
        <v>370</v>
      </c>
      <c r="I151" s="93"/>
      <c r="J151" s="76"/>
      <c r="K151" s="90"/>
      <c r="L151" s="90"/>
      <c r="M151" s="90"/>
      <c r="N151" s="90"/>
      <c r="O151" s="89"/>
      <c r="P151" s="100"/>
      <c r="Q151" s="93" t="s">
        <v>481</v>
      </c>
      <c r="R151" s="104">
        <v>25</v>
      </c>
    </row>
    <row r="152" spans="1:18" ht="25.5">
      <c r="A152" s="265"/>
      <c r="B152" s="76" t="s">
        <v>366</v>
      </c>
      <c r="C152" s="72"/>
      <c r="D152" s="76"/>
      <c r="E152" s="76" t="s">
        <v>362</v>
      </c>
      <c r="F152" s="76" t="e">
        <f>$C$153/$C$155*1360</f>
        <v>#DIV/0!</v>
      </c>
      <c r="G152" s="76"/>
      <c r="H152" s="76"/>
      <c r="I152" s="93"/>
      <c r="J152" s="76"/>
      <c r="K152" s="90"/>
      <c r="L152" s="90"/>
      <c r="M152" s="90"/>
      <c r="N152" s="90"/>
      <c r="O152" s="89"/>
      <c r="P152" s="100"/>
      <c r="Q152" s="93"/>
      <c r="R152" s="104"/>
    </row>
    <row r="153" spans="1:18" ht="25.5">
      <c r="A153" s="265"/>
      <c r="B153" s="76" t="s">
        <v>367</v>
      </c>
      <c r="C153" s="72"/>
      <c r="D153" s="76"/>
      <c r="E153" s="76" t="s">
        <v>363</v>
      </c>
      <c r="F153" s="76" t="e">
        <f>$F$151+$F$149-$F$152</f>
        <v>#DIV/0!</v>
      </c>
      <c r="G153" s="76"/>
      <c r="H153" s="76"/>
      <c r="I153" s="93"/>
      <c r="J153" s="76"/>
      <c r="K153" s="90"/>
      <c r="L153" s="90"/>
      <c r="M153" s="90"/>
      <c r="N153" s="90"/>
      <c r="O153" s="89"/>
      <c r="P153" s="100"/>
      <c r="Q153" s="93"/>
      <c r="R153" s="104"/>
    </row>
    <row r="154" spans="1:18" ht="38.25">
      <c r="A154" s="265"/>
      <c r="B154" s="76" t="s">
        <v>368</v>
      </c>
      <c r="C154" s="72"/>
      <c r="D154" s="76"/>
      <c r="E154" s="76"/>
      <c r="F154" s="76"/>
      <c r="G154" s="76"/>
      <c r="H154" s="76"/>
      <c r="I154" s="93"/>
      <c r="J154" s="76"/>
      <c r="K154" s="90"/>
      <c r="L154" s="90"/>
      <c r="M154" s="90"/>
      <c r="N154" s="90"/>
      <c r="O154" s="89"/>
      <c r="P154" s="100"/>
      <c r="Q154" s="93"/>
      <c r="R154" s="104"/>
    </row>
    <row r="155" spans="1:18" ht="13.5" thickBot="1">
      <c r="A155" s="261"/>
      <c r="B155" s="77" t="s">
        <v>369</v>
      </c>
      <c r="C155" s="78"/>
      <c r="D155" s="77"/>
      <c r="E155" s="77"/>
      <c r="F155" s="77"/>
      <c r="G155" s="77"/>
      <c r="H155" s="77"/>
      <c r="I155" s="93"/>
      <c r="J155" s="76"/>
      <c r="K155" s="90"/>
      <c r="L155" s="90"/>
      <c r="M155" s="90"/>
      <c r="N155" s="90"/>
      <c r="O155" s="89"/>
      <c r="P155" s="100"/>
      <c r="Q155" s="93"/>
      <c r="R155" s="104"/>
    </row>
    <row r="156" spans="1:18" ht="25.5">
      <c r="A156" s="260" t="s">
        <v>371</v>
      </c>
      <c r="B156" s="74" t="s">
        <v>375</v>
      </c>
      <c r="C156" s="75"/>
      <c r="D156" s="74"/>
      <c r="E156" s="74" t="s">
        <v>323</v>
      </c>
      <c r="F156" s="74">
        <f>C156*C157/3412*0.5</f>
        <v>0</v>
      </c>
      <c r="G156" s="74"/>
      <c r="H156" s="74" t="s">
        <v>372</v>
      </c>
      <c r="I156" s="94"/>
      <c r="J156" s="74"/>
      <c r="K156" s="91"/>
      <c r="L156" s="91"/>
      <c r="M156" s="91"/>
      <c r="N156" s="91"/>
      <c r="O156" s="85"/>
      <c r="P156" s="101"/>
      <c r="Q156" s="94"/>
      <c r="R156" s="110"/>
    </row>
    <row r="157" spans="1:18" ht="12.75">
      <c r="A157" s="265"/>
      <c r="B157" s="76" t="s">
        <v>369</v>
      </c>
      <c r="C157" s="72"/>
      <c r="D157" s="76"/>
      <c r="E157" s="76" t="s">
        <v>324</v>
      </c>
      <c r="F157" s="76">
        <f>C156*C157/3412*1000</f>
        <v>0</v>
      </c>
      <c r="G157" s="76"/>
      <c r="H157" s="76"/>
      <c r="I157" s="93"/>
      <c r="J157" s="76"/>
      <c r="K157" s="90"/>
      <c r="L157" s="90"/>
      <c r="M157" s="90"/>
      <c r="N157" s="90"/>
      <c r="O157" s="89"/>
      <c r="P157" s="100"/>
      <c r="Q157" s="93"/>
      <c r="R157" s="104"/>
    </row>
    <row r="158" spans="1:18" ht="25.5">
      <c r="A158" s="265"/>
      <c r="B158" s="76"/>
      <c r="C158" s="76"/>
      <c r="D158" s="76"/>
      <c r="E158" s="76" t="s">
        <v>373</v>
      </c>
      <c r="F158" s="76">
        <f>C156*1000</f>
        <v>0</v>
      </c>
      <c r="G158" s="76"/>
      <c r="H158" s="76"/>
      <c r="I158" s="93" t="s">
        <v>371</v>
      </c>
      <c r="J158" s="76" t="s">
        <v>440</v>
      </c>
      <c r="K158" s="90"/>
      <c r="L158" s="90"/>
      <c r="M158" s="90"/>
      <c r="N158" s="90"/>
      <c r="O158" s="89"/>
      <c r="P158" s="100"/>
      <c r="Q158" s="93"/>
      <c r="R158" s="104"/>
    </row>
    <row r="159" spans="1:18" ht="13.5" thickBot="1">
      <c r="A159" s="261"/>
      <c r="B159" s="77"/>
      <c r="C159" s="77"/>
      <c r="D159" s="77"/>
      <c r="E159" s="77" t="s">
        <v>374</v>
      </c>
      <c r="F159" s="77">
        <f>F157-F158</f>
        <v>0</v>
      </c>
      <c r="G159" s="77"/>
      <c r="H159" s="77"/>
      <c r="I159" s="95"/>
      <c r="J159" s="77"/>
      <c r="K159" s="86"/>
      <c r="L159" s="86"/>
      <c r="M159" s="86"/>
      <c r="N159" s="86"/>
      <c r="O159" s="87"/>
      <c r="P159" s="102"/>
      <c r="Q159" s="95"/>
      <c r="R159" s="109"/>
    </row>
    <row r="160" spans="1:18" ht="13.5" thickBot="1">
      <c r="A160" s="74" t="s">
        <v>256</v>
      </c>
      <c r="B160" s="74" t="s">
        <v>257</v>
      </c>
      <c r="C160" s="82"/>
      <c r="D160" s="74"/>
      <c r="E160" s="74" t="s">
        <v>253</v>
      </c>
      <c r="F160" s="74" t="e">
        <f>((C160-0.544)/C160)*277</f>
        <v>#DIV/0!</v>
      </c>
      <c r="G160" s="74"/>
      <c r="H160" s="76"/>
      <c r="I160" s="93" t="s">
        <v>256</v>
      </c>
      <c r="J160" s="76" t="s">
        <v>419</v>
      </c>
      <c r="K160" s="90"/>
      <c r="L160" s="90"/>
      <c r="M160" s="90"/>
      <c r="N160" s="90"/>
      <c r="O160" s="89">
        <v>0.5</v>
      </c>
      <c r="P160" s="100">
        <v>0.5</v>
      </c>
      <c r="Q160" s="93"/>
      <c r="R160" s="104"/>
    </row>
    <row r="161" spans="1:18" ht="38.25">
      <c r="A161" s="260" t="s">
        <v>376</v>
      </c>
      <c r="B161" s="74" t="s">
        <v>377</v>
      </c>
      <c r="C161" s="75"/>
      <c r="D161" s="74"/>
      <c r="E161" s="74" t="s">
        <v>253</v>
      </c>
      <c r="F161" s="74" t="e">
        <f>(((C161-IF(C163="Furnace",0.78,0.8)))/C161)*C162*900</f>
        <v>#DIV/0!</v>
      </c>
      <c r="G161" s="74"/>
      <c r="H161" s="74"/>
      <c r="I161" s="94"/>
      <c r="J161" s="74"/>
      <c r="K161" s="91"/>
      <c r="L161" s="91"/>
      <c r="M161" s="91"/>
      <c r="N161" s="91"/>
      <c r="O161" s="85"/>
      <c r="P161" s="101"/>
      <c r="Q161" s="94" t="s">
        <v>482</v>
      </c>
      <c r="R161" s="110">
        <v>20</v>
      </c>
    </row>
    <row r="162" spans="1:18" ht="25.5">
      <c r="A162" s="265"/>
      <c r="B162" s="76" t="s">
        <v>378</v>
      </c>
      <c r="C162" s="72"/>
      <c r="D162" s="76"/>
      <c r="E162" s="76"/>
      <c r="F162" s="76"/>
      <c r="G162" s="76"/>
      <c r="H162" s="76"/>
      <c r="I162" s="93" t="s">
        <v>376</v>
      </c>
      <c r="J162" s="76" t="s">
        <v>419</v>
      </c>
      <c r="K162" s="90"/>
      <c r="L162" s="90"/>
      <c r="M162" s="90"/>
      <c r="N162" s="90"/>
      <c r="O162" s="89">
        <v>0.12</v>
      </c>
      <c r="P162" s="100">
        <v>0.88</v>
      </c>
      <c r="Q162" s="93" t="s">
        <v>483</v>
      </c>
      <c r="R162" s="104">
        <v>20</v>
      </c>
    </row>
    <row r="163" spans="1:18" ht="26.25" thickBot="1">
      <c r="A163" s="261"/>
      <c r="B163" s="77" t="s">
        <v>379</v>
      </c>
      <c r="C163" s="78"/>
      <c r="D163" s="77"/>
      <c r="E163" s="77"/>
      <c r="F163" s="77"/>
      <c r="G163" s="77"/>
      <c r="H163" s="77"/>
      <c r="I163" s="95"/>
      <c r="J163" s="77"/>
      <c r="K163" s="86"/>
      <c r="L163" s="86"/>
      <c r="M163" s="86"/>
      <c r="N163" s="86"/>
      <c r="O163" s="87"/>
      <c r="P163" s="102"/>
      <c r="Q163" s="95"/>
      <c r="R163" s="109"/>
    </row>
    <row r="164" spans="9:18" ht="12.75">
      <c r="I164" s="93"/>
      <c r="J164" s="76"/>
      <c r="K164" s="90"/>
      <c r="L164" s="90"/>
      <c r="M164" s="90"/>
      <c r="N164" s="90"/>
      <c r="O164" s="89"/>
      <c r="P164" s="100"/>
      <c r="Q164" s="93"/>
      <c r="R164" s="104"/>
    </row>
    <row r="165" spans="9:18" ht="12.75">
      <c r="I165" s="93"/>
      <c r="J165" s="76"/>
      <c r="K165" s="90"/>
      <c r="L165" s="90"/>
      <c r="M165" s="90"/>
      <c r="N165" s="90"/>
      <c r="O165" s="89"/>
      <c r="P165" s="100"/>
      <c r="Q165" s="93"/>
      <c r="R165" s="104"/>
    </row>
    <row r="166" spans="1:18" ht="18">
      <c r="A166" s="259" t="s">
        <v>380</v>
      </c>
      <c r="B166" s="259"/>
      <c r="C166" s="259"/>
      <c r="D166" s="259"/>
      <c r="E166" s="259"/>
      <c r="F166" s="259"/>
      <c r="G166" s="259"/>
      <c r="H166" s="259"/>
      <c r="I166" s="251" t="s">
        <v>380</v>
      </c>
      <c r="J166" s="253"/>
      <c r="K166" s="253"/>
      <c r="L166" s="253"/>
      <c r="M166" s="253"/>
      <c r="N166" s="253"/>
      <c r="O166" s="253"/>
      <c r="P166" s="252"/>
      <c r="Q166" s="251" t="s">
        <v>484</v>
      </c>
      <c r="R166" s="252"/>
    </row>
    <row r="167" spans="1:18" ht="18">
      <c r="A167" s="84"/>
      <c r="B167" s="84"/>
      <c r="C167" s="84"/>
      <c r="D167" s="84"/>
      <c r="E167" s="84"/>
      <c r="F167" s="84"/>
      <c r="G167" s="84"/>
      <c r="H167" s="84"/>
      <c r="I167" s="93"/>
      <c r="J167" s="76"/>
      <c r="K167" s="90"/>
      <c r="L167" s="90"/>
      <c r="M167" s="90"/>
      <c r="N167" s="90"/>
      <c r="O167" s="89"/>
      <c r="P167" s="100"/>
      <c r="Q167" s="251"/>
      <c r="R167" s="252"/>
    </row>
    <row r="168" spans="1:18" ht="13.5" thickBot="1">
      <c r="A168" s="7" t="s">
        <v>233</v>
      </c>
      <c r="B168" s="7" t="s">
        <v>234</v>
      </c>
      <c r="E168" s="7" t="s">
        <v>230</v>
      </c>
      <c r="H168" s="7" t="s">
        <v>242</v>
      </c>
      <c r="I168" s="93"/>
      <c r="J168" s="76"/>
      <c r="K168" s="90"/>
      <c r="L168" s="90"/>
      <c r="M168" s="90"/>
      <c r="N168" s="90"/>
      <c r="O168" s="89"/>
      <c r="P168" s="100"/>
      <c r="Q168" s="95" t="s">
        <v>233</v>
      </c>
      <c r="R168" s="109" t="s">
        <v>456</v>
      </c>
    </row>
    <row r="169" spans="1:18" ht="25.5">
      <c r="A169" s="74"/>
      <c r="B169" s="74" t="s">
        <v>383</v>
      </c>
      <c r="C169" s="75"/>
      <c r="D169" s="74"/>
      <c r="E169" s="74" t="s">
        <v>381</v>
      </c>
      <c r="F169" s="74">
        <f>$C$169*0.1</f>
        <v>0</v>
      </c>
      <c r="G169" s="74"/>
      <c r="H169" s="74" t="s">
        <v>387</v>
      </c>
      <c r="I169" s="94"/>
      <c r="J169" s="74"/>
      <c r="K169" s="91"/>
      <c r="L169" s="91"/>
      <c r="M169" s="91"/>
      <c r="N169" s="91"/>
      <c r="O169" s="85"/>
      <c r="P169" s="101"/>
      <c r="Q169" s="94" t="s">
        <v>485</v>
      </c>
      <c r="R169" s="110">
        <v>3</v>
      </c>
    </row>
    <row r="170" spans="1:18" ht="25.5">
      <c r="A170" s="76"/>
      <c r="B170" s="76" t="s">
        <v>384</v>
      </c>
      <c r="C170" s="72"/>
      <c r="D170" s="76"/>
      <c r="E170" s="76" t="s">
        <v>382</v>
      </c>
      <c r="F170" s="76">
        <f>($F$169/3900)*0.875</f>
        <v>0</v>
      </c>
      <c r="G170" s="76"/>
      <c r="H170" s="76"/>
      <c r="I170" s="93"/>
      <c r="J170" s="76"/>
      <c r="K170" s="90"/>
      <c r="L170" s="90"/>
      <c r="M170" s="90"/>
      <c r="N170" s="90"/>
      <c r="O170" s="89"/>
      <c r="P170" s="100"/>
      <c r="Q170" s="93"/>
      <c r="R170" s="104"/>
    </row>
    <row r="171" spans="1:18" ht="13.5" thickBot="1">
      <c r="A171" s="77"/>
      <c r="B171" s="77"/>
      <c r="C171" s="77"/>
      <c r="D171" s="77"/>
      <c r="E171" s="77" t="s">
        <v>253</v>
      </c>
      <c r="F171" s="77">
        <f>$C$170*0.07</f>
        <v>0</v>
      </c>
      <c r="G171" s="77"/>
      <c r="H171" s="77"/>
      <c r="I171" s="95"/>
      <c r="J171" s="77"/>
      <c r="K171" s="86"/>
      <c r="L171" s="86"/>
      <c r="M171" s="86"/>
      <c r="N171" s="86"/>
      <c r="O171" s="87"/>
      <c r="P171" s="102"/>
      <c r="Q171" s="95"/>
      <c r="R171" s="109"/>
    </row>
    <row r="172" spans="9:18" ht="12.75">
      <c r="I172" s="93"/>
      <c r="J172" s="76"/>
      <c r="K172" s="90"/>
      <c r="L172" s="90"/>
      <c r="M172" s="90"/>
      <c r="N172" s="90"/>
      <c r="O172" s="89"/>
      <c r="P172" s="100"/>
      <c r="Q172" s="93"/>
      <c r="R172" s="104"/>
    </row>
    <row r="173" spans="9:18" ht="12.75">
      <c r="I173" s="93"/>
      <c r="J173" s="76"/>
      <c r="K173" s="90"/>
      <c r="L173" s="90"/>
      <c r="M173" s="90"/>
      <c r="N173" s="90"/>
      <c r="O173" s="89"/>
      <c r="P173" s="100"/>
      <c r="Q173" s="93"/>
      <c r="R173" s="104"/>
    </row>
    <row r="174" spans="1:18" ht="18">
      <c r="A174" s="259" t="s">
        <v>385</v>
      </c>
      <c r="B174" s="259"/>
      <c r="C174" s="259"/>
      <c r="D174" s="259"/>
      <c r="E174" s="259"/>
      <c r="F174" s="259"/>
      <c r="G174" s="259"/>
      <c r="H174" s="259"/>
      <c r="I174" s="251" t="s">
        <v>385</v>
      </c>
      <c r="J174" s="253"/>
      <c r="K174" s="253"/>
      <c r="L174" s="253"/>
      <c r="M174" s="253"/>
      <c r="N174" s="253"/>
      <c r="O174" s="253"/>
      <c r="P174" s="252"/>
      <c r="Q174" s="93"/>
      <c r="R174" s="104"/>
    </row>
    <row r="175" spans="1:18" ht="18">
      <c r="A175" s="84"/>
      <c r="B175" s="84"/>
      <c r="C175" s="84"/>
      <c r="D175" s="84"/>
      <c r="E175" s="84"/>
      <c r="F175" s="84"/>
      <c r="G175" s="84"/>
      <c r="H175" s="84"/>
      <c r="I175" s="93"/>
      <c r="J175" s="76"/>
      <c r="K175" s="90"/>
      <c r="L175" s="90"/>
      <c r="M175" s="90"/>
      <c r="N175" s="90"/>
      <c r="O175" s="89"/>
      <c r="P175" s="100"/>
      <c r="Q175" s="93"/>
      <c r="R175" s="104"/>
    </row>
    <row r="176" spans="1:18" ht="13.5" thickBot="1">
      <c r="A176" s="7" t="s">
        <v>233</v>
      </c>
      <c r="B176" s="7" t="s">
        <v>234</v>
      </c>
      <c r="E176" s="7" t="s">
        <v>230</v>
      </c>
      <c r="H176" s="7" t="s">
        <v>242</v>
      </c>
      <c r="I176" s="93"/>
      <c r="J176" s="76"/>
      <c r="K176" s="90"/>
      <c r="L176" s="90"/>
      <c r="M176" s="90"/>
      <c r="N176" s="90"/>
      <c r="O176" s="89"/>
      <c r="P176" s="100"/>
      <c r="Q176" s="93"/>
      <c r="R176" s="104"/>
    </row>
    <row r="177" spans="1:18" ht="51">
      <c r="A177" s="260" t="s">
        <v>386</v>
      </c>
      <c r="B177" s="74" t="s">
        <v>390</v>
      </c>
      <c r="C177" s="75"/>
      <c r="D177" s="74"/>
      <c r="E177" s="74" t="s">
        <v>396</v>
      </c>
      <c r="F177" s="74" t="s">
        <v>397</v>
      </c>
      <c r="G177" s="74"/>
      <c r="H177" s="74" t="s">
        <v>395</v>
      </c>
      <c r="I177" s="94"/>
      <c r="J177" s="74"/>
      <c r="K177" s="91"/>
      <c r="L177" s="91"/>
      <c r="M177" s="91"/>
      <c r="N177" s="91"/>
      <c r="O177" s="85"/>
      <c r="P177" s="101"/>
      <c r="Q177" s="94" t="s">
        <v>486</v>
      </c>
      <c r="R177" s="110"/>
    </row>
    <row r="178" spans="1:18" ht="25.5">
      <c r="A178" s="265"/>
      <c r="B178" s="76" t="s">
        <v>391</v>
      </c>
      <c r="C178" s="72"/>
      <c r="D178" s="76"/>
      <c r="E178" s="76" t="s">
        <v>388</v>
      </c>
      <c r="F178" s="76">
        <f>$C$177*0.65</f>
        <v>0</v>
      </c>
      <c r="G178" s="76"/>
      <c r="H178" s="76"/>
      <c r="I178" s="93"/>
      <c r="J178" s="76"/>
      <c r="K178" s="90"/>
      <c r="L178" s="90"/>
      <c r="M178" s="90"/>
      <c r="N178" s="90"/>
      <c r="O178" s="89"/>
      <c r="P178" s="100"/>
      <c r="Q178" s="93"/>
      <c r="R178" s="104"/>
    </row>
    <row r="179" spans="1:18" ht="12.75">
      <c r="A179" s="265"/>
      <c r="B179" s="76" t="s">
        <v>392</v>
      </c>
      <c r="C179" s="72"/>
      <c r="D179" s="76"/>
      <c r="E179" s="76" t="s">
        <v>389</v>
      </c>
      <c r="F179" s="76">
        <f>$C$177*0.08</f>
        <v>0</v>
      </c>
      <c r="G179" s="76"/>
      <c r="H179" s="76"/>
      <c r="I179" s="93"/>
      <c r="J179" s="76"/>
      <c r="K179" s="90"/>
      <c r="L179" s="90"/>
      <c r="M179" s="90"/>
      <c r="N179" s="90"/>
      <c r="O179" s="89"/>
      <c r="P179" s="100"/>
      <c r="Q179" s="93"/>
      <c r="R179" s="104"/>
    </row>
    <row r="180" spans="1:18" ht="12.75">
      <c r="A180" s="265"/>
      <c r="B180" s="76" t="s">
        <v>393</v>
      </c>
      <c r="C180" s="72"/>
      <c r="D180" s="76"/>
      <c r="E180" s="76"/>
      <c r="F180" s="76"/>
      <c r="G180" s="76"/>
      <c r="H180" s="76"/>
      <c r="I180" s="93"/>
      <c r="J180" s="76"/>
      <c r="K180" s="90"/>
      <c r="L180" s="90"/>
      <c r="M180" s="90"/>
      <c r="N180" s="90"/>
      <c r="O180" s="89"/>
      <c r="P180" s="100"/>
      <c r="Q180" s="93"/>
      <c r="R180" s="104"/>
    </row>
    <row r="181" spans="1:18" ht="13.5" thickBot="1">
      <c r="A181" s="261"/>
      <c r="B181" s="77" t="s">
        <v>394</v>
      </c>
      <c r="C181" s="78"/>
      <c r="D181" s="77"/>
      <c r="E181" s="77"/>
      <c r="F181" s="77"/>
      <c r="G181" s="77"/>
      <c r="H181" s="77"/>
      <c r="I181" s="95"/>
      <c r="J181" s="77"/>
      <c r="K181" s="86"/>
      <c r="L181" s="86"/>
      <c r="M181" s="86"/>
      <c r="N181" s="86"/>
      <c r="O181" s="87"/>
      <c r="P181" s="102"/>
      <c r="Q181" s="95"/>
      <c r="R181" s="109"/>
    </row>
    <row r="182" spans="1:18" ht="25.5">
      <c r="A182" s="260" t="s">
        <v>398</v>
      </c>
      <c r="B182" s="74"/>
      <c r="C182" s="74"/>
      <c r="D182" s="74"/>
      <c r="E182" s="74" t="s">
        <v>400</v>
      </c>
      <c r="F182" s="74" t="s">
        <v>401</v>
      </c>
      <c r="G182" s="74"/>
      <c r="H182" s="74" t="s">
        <v>402</v>
      </c>
      <c r="I182" s="93"/>
      <c r="J182" s="76"/>
      <c r="K182" s="90"/>
      <c r="L182" s="90"/>
      <c r="M182" s="90"/>
      <c r="N182" s="90"/>
      <c r="O182" s="89"/>
      <c r="P182" s="100"/>
      <c r="Q182" s="93" t="s">
        <v>487</v>
      </c>
      <c r="R182" s="104"/>
    </row>
    <row r="183" spans="1:18" ht="26.25" thickBot="1">
      <c r="A183" s="261"/>
      <c r="B183" s="77"/>
      <c r="C183" s="77"/>
      <c r="D183" s="77"/>
      <c r="E183" s="77"/>
      <c r="F183" s="77"/>
      <c r="G183" s="77"/>
      <c r="H183" s="77" t="s">
        <v>403</v>
      </c>
      <c r="I183" s="93"/>
      <c r="J183" s="76"/>
      <c r="K183" s="90"/>
      <c r="L183" s="90"/>
      <c r="M183" s="90"/>
      <c r="N183" s="90"/>
      <c r="O183" s="89"/>
      <c r="P183" s="100"/>
      <c r="Q183" s="93"/>
      <c r="R183" s="104"/>
    </row>
    <row r="184" spans="1:18" ht="25.5">
      <c r="A184" s="260" t="s">
        <v>404</v>
      </c>
      <c r="B184" s="74" t="s">
        <v>405</v>
      </c>
      <c r="C184" s="75"/>
      <c r="D184" s="74"/>
      <c r="E184" s="74" t="s">
        <v>399</v>
      </c>
      <c r="F184" s="74">
        <f>$C$184+$C$185</f>
        <v>0</v>
      </c>
      <c r="G184" s="74"/>
      <c r="H184" s="74"/>
      <c r="I184" s="94"/>
      <c r="J184" s="74"/>
      <c r="K184" s="91"/>
      <c r="L184" s="91"/>
      <c r="M184" s="91"/>
      <c r="N184" s="91"/>
      <c r="O184" s="85"/>
      <c r="P184" s="101"/>
      <c r="Q184" s="94" t="s">
        <v>404</v>
      </c>
      <c r="R184" s="110"/>
    </row>
    <row r="185" spans="1:18" ht="26.25" thickBot="1">
      <c r="A185" s="261"/>
      <c r="B185" s="77" t="s">
        <v>406</v>
      </c>
      <c r="C185" s="78"/>
      <c r="D185" s="77"/>
      <c r="E185" s="77"/>
      <c r="F185" s="77"/>
      <c r="G185" s="77"/>
      <c r="H185" s="77"/>
      <c r="I185" s="95"/>
      <c r="J185" s="77"/>
      <c r="K185" s="86"/>
      <c r="L185" s="86"/>
      <c r="M185" s="86"/>
      <c r="N185" s="86"/>
      <c r="O185" s="87"/>
      <c r="P185" s="102"/>
      <c r="Q185" s="95"/>
      <c r="R185" s="109"/>
    </row>
    <row r="186" spans="1:18" ht="39" thickBot="1">
      <c r="A186" s="83" t="s">
        <v>407</v>
      </c>
      <c r="B186" s="83"/>
      <c r="C186" s="83"/>
      <c r="D186" s="83"/>
      <c r="E186" s="83"/>
      <c r="F186" s="83"/>
      <c r="G186" s="83"/>
      <c r="H186" s="83" t="s">
        <v>408</v>
      </c>
      <c r="I186" s="98"/>
      <c r="J186" s="83"/>
      <c r="K186" s="92"/>
      <c r="L186" s="92"/>
      <c r="M186" s="92"/>
      <c r="N186" s="92"/>
      <c r="O186" s="99"/>
      <c r="P186" s="103"/>
      <c r="Q186" s="95" t="s">
        <v>407</v>
      </c>
      <c r="R186" s="109"/>
    </row>
  </sheetData>
  <sheetProtection/>
  <mergeCells count="97">
    <mergeCell ref="A5:A8"/>
    <mergeCell ref="A91:H91"/>
    <mergeCell ref="A110:A114"/>
    <mergeCell ref="A115:A116"/>
    <mergeCell ref="A103:A104"/>
    <mergeCell ref="A44:A45"/>
    <mergeCell ref="A83:H83"/>
    <mergeCell ref="A86:A88"/>
    <mergeCell ref="A105:A109"/>
    <mergeCell ref="B62:B63"/>
    <mergeCell ref="A33:A35"/>
    <mergeCell ref="A36:A38"/>
    <mergeCell ref="A39:A41"/>
    <mergeCell ref="A42:A43"/>
    <mergeCell ref="B52:B53"/>
    <mergeCell ref="B54:B55"/>
    <mergeCell ref="B56:B57"/>
    <mergeCell ref="B69:B70"/>
    <mergeCell ref="B64:B66"/>
    <mergeCell ref="B67:B68"/>
    <mergeCell ref="A100:H100"/>
    <mergeCell ref="A58:A61"/>
    <mergeCell ref="A78:A80"/>
    <mergeCell ref="A62:A76"/>
    <mergeCell ref="B73:B74"/>
    <mergeCell ref="B71:B72"/>
    <mergeCell ref="A2:H2"/>
    <mergeCell ref="A9:A12"/>
    <mergeCell ref="A49:H49"/>
    <mergeCell ref="A52:A57"/>
    <mergeCell ref="A15:H15"/>
    <mergeCell ref="A18:A19"/>
    <mergeCell ref="A20:A22"/>
    <mergeCell ref="A25:H25"/>
    <mergeCell ref="A28:A29"/>
    <mergeCell ref="A30:A32"/>
    <mergeCell ref="A174:H174"/>
    <mergeCell ref="A177:A181"/>
    <mergeCell ref="A119:H119"/>
    <mergeCell ref="A122:A125"/>
    <mergeCell ref="H122:H123"/>
    <mergeCell ref="A126:A127"/>
    <mergeCell ref="H126:H127"/>
    <mergeCell ref="A156:A159"/>
    <mergeCell ref="A182:A183"/>
    <mergeCell ref="A128:A130"/>
    <mergeCell ref="A131:A134"/>
    <mergeCell ref="A135:A138"/>
    <mergeCell ref="A161:A163"/>
    <mergeCell ref="A166:H166"/>
    <mergeCell ref="A139:A141"/>
    <mergeCell ref="A142:A143"/>
    <mergeCell ref="A146:H146"/>
    <mergeCell ref="A149:A155"/>
    <mergeCell ref="A184:A185"/>
    <mergeCell ref="B1:H1"/>
    <mergeCell ref="K3:N3"/>
    <mergeCell ref="O3:P3"/>
    <mergeCell ref="I2:P2"/>
    <mergeCell ref="I1:P1"/>
    <mergeCell ref="K16:N16"/>
    <mergeCell ref="O16:P16"/>
    <mergeCell ref="I15:P15"/>
    <mergeCell ref="K84:N84"/>
    <mergeCell ref="I100:P100"/>
    <mergeCell ref="K26:N26"/>
    <mergeCell ref="Q1:R1"/>
    <mergeCell ref="Q100:R101"/>
    <mergeCell ref="I91:P91"/>
    <mergeCell ref="K92:N92"/>
    <mergeCell ref="O92:P92"/>
    <mergeCell ref="Q91:R92"/>
    <mergeCell ref="I25:P25"/>
    <mergeCell ref="K50:N50"/>
    <mergeCell ref="K120:N120"/>
    <mergeCell ref="O120:P120"/>
    <mergeCell ref="I119:P119"/>
    <mergeCell ref="K101:N101"/>
    <mergeCell ref="O101:P101"/>
    <mergeCell ref="Q119:R120"/>
    <mergeCell ref="Q2:R3"/>
    <mergeCell ref="Q15:R16"/>
    <mergeCell ref="Q49:R50"/>
    <mergeCell ref="Q25:R26"/>
    <mergeCell ref="Q83:R84"/>
    <mergeCell ref="O84:P84"/>
    <mergeCell ref="I83:P83"/>
    <mergeCell ref="O26:P26"/>
    <mergeCell ref="O50:P50"/>
    <mergeCell ref="I49:P49"/>
    <mergeCell ref="Q146:R147"/>
    <mergeCell ref="Q166:R167"/>
    <mergeCell ref="I166:P166"/>
    <mergeCell ref="I174:P174"/>
    <mergeCell ref="K147:N147"/>
    <mergeCell ref="O147:P147"/>
    <mergeCell ref="I146:P14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30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140625" style="7" customWidth="1"/>
    <col min="2" max="2" width="23.7109375" style="7" customWidth="1"/>
    <col min="3" max="3" width="22.57421875" style="7" customWidth="1"/>
    <col min="4" max="4" width="16.28125" style="7" customWidth="1"/>
    <col min="5" max="5" width="17.421875" style="114" customWidth="1"/>
    <col min="6" max="6" width="9.7109375" style="115" bestFit="1" customWidth="1"/>
    <col min="7" max="8" width="10.57421875" style="7" customWidth="1"/>
    <col min="9" max="9" width="23.140625" style="0" bestFit="1" customWidth="1"/>
  </cols>
  <sheetData>
    <row r="1" spans="1:6" ht="26.25" thickBot="1">
      <c r="A1" s="116" t="s">
        <v>488</v>
      </c>
      <c r="B1" s="116" t="s">
        <v>233</v>
      </c>
      <c r="C1" s="116" t="s">
        <v>489</v>
      </c>
      <c r="D1" s="116" t="s">
        <v>490</v>
      </c>
      <c r="E1" s="117" t="s">
        <v>491</v>
      </c>
      <c r="F1" s="118" t="s">
        <v>504</v>
      </c>
    </row>
    <row r="2" spans="1:9" ht="27" thickBot="1" thickTop="1">
      <c r="A2" s="7" t="s">
        <v>492</v>
      </c>
      <c r="B2" s="7" t="s">
        <v>413</v>
      </c>
      <c r="C2" s="7" t="s">
        <v>493</v>
      </c>
      <c r="E2" s="115">
        <v>312.5</v>
      </c>
      <c r="F2" s="7"/>
      <c r="G2" s="115">
        <f>AVERAGE(E2:E3,E11:E12)</f>
        <v>490.75</v>
      </c>
      <c r="I2" s="190" t="s">
        <v>778</v>
      </c>
    </row>
    <row r="3" spans="1:10" ht="26.25" thickBot="1">
      <c r="A3" s="7" t="s">
        <v>492</v>
      </c>
      <c r="B3" s="7" t="s">
        <v>413</v>
      </c>
      <c r="C3" s="7" t="s">
        <v>498</v>
      </c>
      <c r="E3" s="115">
        <v>507.5</v>
      </c>
      <c r="F3" s="7"/>
      <c r="I3" s="191" t="s">
        <v>779</v>
      </c>
      <c r="J3" t="s">
        <v>792</v>
      </c>
    </row>
    <row r="4" spans="1:10" ht="26.25" thickBot="1">
      <c r="A4" s="7" t="s">
        <v>492</v>
      </c>
      <c r="B4" s="7" t="s">
        <v>420</v>
      </c>
      <c r="C4" s="7" t="s">
        <v>493</v>
      </c>
      <c r="E4" s="115">
        <v>427.5</v>
      </c>
      <c r="F4" s="7"/>
      <c r="I4" s="191" t="s">
        <v>780</v>
      </c>
      <c r="J4" t="s">
        <v>792</v>
      </c>
    </row>
    <row r="5" spans="1:9" ht="26.25" thickBot="1">
      <c r="A5" s="7" t="s">
        <v>492</v>
      </c>
      <c r="B5" s="7" t="s">
        <v>420</v>
      </c>
      <c r="C5" s="7" t="s">
        <v>498</v>
      </c>
      <c r="E5" s="115">
        <v>630.5</v>
      </c>
      <c r="F5" s="7"/>
      <c r="I5" s="191" t="s">
        <v>781</v>
      </c>
    </row>
    <row r="6" spans="1:9" ht="26.25" thickBot="1">
      <c r="A6" s="7" t="s">
        <v>492</v>
      </c>
      <c r="B6" s="7" t="s">
        <v>494</v>
      </c>
      <c r="C6" s="7" t="s">
        <v>499</v>
      </c>
      <c r="E6" s="115">
        <v>669.5</v>
      </c>
      <c r="F6" s="7"/>
      <c r="I6" s="190" t="s">
        <v>782</v>
      </c>
    </row>
    <row r="7" spans="1:9" ht="26.25" thickBot="1">
      <c r="A7" s="7" t="s">
        <v>492</v>
      </c>
      <c r="B7" s="7" t="s">
        <v>497</v>
      </c>
      <c r="C7" s="7" t="s">
        <v>499</v>
      </c>
      <c r="E7" s="115">
        <v>839</v>
      </c>
      <c r="F7" s="7"/>
      <c r="I7" s="192" t="s">
        <v>783</v>
      </c>
    </row>
    <row r="8" spans="1:10" ht="26.25" thickBot="1">
      <c r="A8" s="7" t="s">
        <v>492</v>
      </c>
      <c r="B8" s="7" t="s">
        <v>495</v>
      </c>
      <c r="C8" s="7" t="s">
        <v>500</v>
      </c>
      <c r="E8" s="115">
        <v>109</v>
      </c>
      <c r="F8" s="7"/>
      <c r="I8" s="191" t="s">
        <v>784</v>
      </c>
      <c r="J8" s="195">
        <v>198</v>
      </c>
    </row>
    <row r="9" spans="1:9" ht="26.25" thickBot="1">
      <c r="A9" s="7" t="s">
        <v>492</v>
      </c>
      <c r="B9" s="7" t="s">
        <v>496</v>
      </c>
      <c r="C9" s="7" t="s">
        <v>501</v>
      </c>
      <c r="E9" s="115">
        <v>163.5</v>
      </c>
      <c r="F9" s="7"/>
      <c r="I9" s="191" t="s">
        <v>785</v>
      </c>
    </row>
    <row r="10" spans="1:9" ht="26.25" thickBot="1">
      <c r="A10" s="7" t="s">
        <v>492</v>
      </c>
      <c r="B10" s="7" t="s">
        <v>502</v>
      </c>
      <c r="C10" s="7" t="s">
        <v>503</v>
      </c>
      <c r="E10" s="115" t="s">
        <v>505</v>
      </c>
      <c r="F10" s="114">
        <v>1575</v>
      </c>
      <c r="I10" s="190" t="s">
        <v>786</v>
      </c>
    </row>
    <row r="11" spans="1:9" ht="26.25" thickBot="1">
      <c r="A11" s="7" t="s">
        <v>492</v>
      </c>
      <c r="B11" s="7" t="s">
        <v>502</v>
      </c>
      <c r="C11" s="7" t="s">
        <v>493</v>
      </c>
      <c r="E11" s="115">
        <v>372</v>
      </c>
      <c r="F11" s="114">
        <v>1947</v>
      </c>
      <c r="I11" s="191" t="s">
        <v>787</v>
      </c>
    </row>
    <row r="12" spans="1:9" ht="26.25" thickBot="1">
      <c r="A12" s="7" t="s">
        <v>492</v>
      </c>
      <c r="B12" s="7" t="s">
        <v>502</v>
      </c>
      <c r="C12" s="7" t="s">
        <v>498</v>
      </c>
      <c r="E12" s="115">
        <v>771</v>
      </c>
      <c r="F12" s="114">
        <v>2346</v>
      </c>
      <c r="I12" s="193" t="s">
        <v>788</v>
      </c>
    </row>
    <row r="13" spans="1:9" ht="26.25" thickBot="1">
      <c r="A13" s="74" t="s">
        <v>506</v>
      </c>
      <c r="B13" s="74" t="s">
        <v>507</v>
      </c>
      <c r="C13" s="74"/>
      <c r="D13" s="74" t="s">
        <v>508</v>
      </c>
      <c r="E13" s="119">
        <v>2500</v>
      </c>
      <c r="F13" s="120"/>
      <c r="I13" s="193" t="s">
        <v>789</v>
      </c>
    </row>
    <row r="14" spans="1:10" ht="26.25" thickBot="1">
      <c r="A14" s="76" t="s">
        <v>509</v>
      </c>
      <c r="B14" s="76" t="s">
        <v>512</v>
      </c>
      <c r="C14" s="76"/>
      <c r="D14" s="76"/>
      <c r="E14" s="121">
        <v>866</v>
      </c>
      <c r="F14" s="122">
        <v>1349.81</v>
      </c>
      <c r="I14" s="193" t="s">
        <v>790</v>
      </c>
      <c r="J14">
        <v>490.75</v>
      </c>
    </row>
    <row r="15" spans="1:9" ht="26.25" thickBot="1">
      <c r="A15" s="76" t="s">
        <v>509</v>
      </c>
      <c r="B15" s="76" t="s">
        <v>513</v>
      </c>
      <c r="C15" s="76"/>
      <c r="D15" s="76"/>
      <c r="E15" s="121">
        <v>498</v>
      </c>
      <c r="F15" s="122"/>
      <c r="I15" s="194" t="s">
        <v>791</v>
      </c>
    </row>
    <row r="16" spans="1:6" ht="26.25" thickTop="1">
      <c r="A16" s="76" t="s">
        <v>509</v>
      </c>
      <c r="B16" s="76" t="s">
        <v>315</v>
      </c>
      <c r="C16" s="76"/>
      <c r="D16" s="76"/>
      <c r="E16" s="121">
        <v>47.12</v>
      </c>
      <c r="F16" s="122">
        <v>295.71</v>
      </c>
    </row>
    <row r="17" spans="1:6" ht="25.5">
      <c r="A17" s="76" t="s">
        <v>509</v>
      </c>
      <c r="B17" s="76" t="s">
        <v>510</v>
      </c>
      <c r="C17" s="76"/>
      <c r="D17" s="76"/>
      <c r="E17" s="121">
        <v>458</v>
      </c>
      <c r="F17" s="122">
        <v>927.5</v>
      </c>
    </row>
    <row r="18" spans="1:6" ht="25.5">
      <c r="A18" s="76" t="s">
        <v>509</v>
      </c>
      <c r="B18" s="76" t="s">
        <v>312</v>
      </c>
      <c r="C18" s="76"/>
      <c r="D18" s="76"/>
      <c r="E18" s="121">
        <v>416</v>
      </c>
      <c r="F18" s="122">
        <v>602.51</v>
      </c>
    </row>
    <row r="19" spans="1:6" ht="26.25" thickBot="1">
      <c r="A19" s="77" t="s">
        <v>509</v>
      </c>
      <c r="B19" s="77" t="s">
        <v>511</v>
      </c>
      <c r="C19" s="77"/>
      <c r="D19" s="77"/>
      <c r="E19" s="123">
        <v>4.44</v>
      </c>
      <c r="F19" s="124"/>
    </row>
    <row r="20" spans="1:5" ht="25.5">
      <c r="A20" s="7" t="s">
        <v>514</v>
      </c>
      <c r="B20" s="7" t="s">
        <v>518</v>
      </c>
      <c r="C20" s="7" t="s">
        <v>520</v>
      </c>
      <c r="D20" s="7" t="s">
        <v>524</v>
      </c>
      <c r="E20" s="114">
        <v>248.89</v>
      </c>
    </row>
    <row r="21" spans="1:5" ht="25.5">
      <c r="A21" s="7" t="s">
        <v>514</v>
      </c>
      <c r="B21" s="7" t="s">
        <v>518</v>
      </c>
      <c r="C21" s="7" t="s">
        <v>521</v>
      </c>
      <c r="D21" s="7" t="s">
        <v>519</v>
      </c>
      <c r="E21" s="114">
        <v>142.39</v>
      </c>
    </row>
    <row r="22" spans="1:5" ht="25.5">
      <c r="A22" s="7" t="s">
        <v>514</v>
      </c>
      <c r="B22" s="7" t="s">
        <v>518</v>
      </c>
      <c r="C22" s="7" t="s">
        <v>523</v>
      </c>
      <c r="D22" s="7" t="s">
        <v>522</v>
      </c>
      <c r="E22" s="114">
        <v>290.23</v>
      </c>
    </row>
    <row r="23" spans="1:5" ht="25.5">
      <c r="A23" s="7" t="s">
        <v>514</v>
      </c>
      <c r="B23" s="7" t="s">
        <v>529</v>
      </c>
      <c r="C23" s="7" t="s">
        <v>525</v>
      </c>
      <c r="D23" s="7" t="s">
        <v>526</v>
      </c>
      <c r="E23" s="114">
        <v>80</v>
      </c>
    </row>
    <row r="24" spans="1:5" ht="25.5">
      <c r="A24" s="7" t="s">
        <v>514</v>
      </c>
      <c r="B24" s="7" t="s">
        <v>529</v>
      </c>
      <c r="C24" s="7" t="s">
        <v>525</v>
      </c>
      <c r="D24" s="7" t="s">
        <v>527</v>
      </c>
      <c r="E24" s="114">
        <v>139</v>
      </c>
    </row>
    <row r="25" spans="1:5" ht="25.5">
      <c r="A25" s="7" t="s">
        <v>514</v>
      </c>
      <c r="B25" s="7" t="s">
        <v>529</v>
      </c>
      <c r="C25" s="7" t="s">
        <v>528</v>
      </c>
      <c r="D25" s="7" t="s">
        <v>526</v>
      </c>
      <c r="E25" s="114">
        <v>4.23</v>
      </c>
    </row>
    <row r="26" spans="1:5" ht="25.5">
      <c r="A26" s="7" t="s">
        <v>514</v>
      </c>
      <c r="B26" s="7" t="s">
        <v>529</v>
      </c>
      <c r="C26" s="7" t="s">
        <v>528</v>
      </c>
      <c r="D26" s="7" t="s">
        <v>527</v>
      </c>
      <c r="E26" s="114">
        <v>5.3</v>
      </c>
    </row>
    <row r="27" spans="1:5" ht="25.5">
      <c r="A27" s="7" t="s">
        <v>514</v>
      </c>
      <c r="B27" s="7" t="s">
        <v>529</v>
      </c>
      <c r="C27" s="7" t="s">
        <v>528</v>
      </c>
      <c r="D27" s="7" t="s">
        <v>527</v>
      </c>
      <c r="E27" s="114">
        <v>29.91</v>
      </c>
    </row>
    <row r="28" spans="1:5" ht="25.5">
      <c r="A28" s="7" t="s">
        <v>514</v>
      </c>
      <c r="B28" s="7" t="s">
        <v>529</v>
      </c>
      <c r="C28" s="7" t="s">
        <v>530</v>
      </c>
      <c r="D28" s="7" t="s">
        <v>526</v>
      </c>
      <c r="E28" s="114">
        <v>113.13</v>
      </c>
    </row>
    <row r="29" spans="1:5" ht="25.5">
      <c r="A29" s="7" t="s">
        <v>514</v>
      </c>
      <c r="B29" s="7" t="s">
        <v>529</v>
      </c>
      <c r="C29" s="7" t="s">
        <v>530</v>
      </c>
      <c r="D29" s="7" t="s">
        <v>527</v>
      </c>
      <c r="E29" s="114">
        <v>169.1</v>
      </c>
    </row>
    <row r="30" spans="1:5" ht="25.5">
      <c r="A30" s="7" t="s">
        <v>514</v>
      </c>
      <c r="B30" s="7" t="s">
        <v>529</v>
      </c>
      <c r="C30" s="7" t="s">
        <v>530</v>
      </c>
      <c r="D30" s="7" t="s">
        <v>527</v>
      </c>
      <c r="E30" s="114">
        <v>108.77</v>
      </c>
    </row>
    <row r="31" spans="1:5" ht="12.75">
      <c r="A31" s="7" t="s">
        <v>514</v>
      </c>
      <c r="B31" s="7" t="s">
        <v>531</v>
      </c>
      <c r="C31" s="7" t="s">
        <v>532</v>
      </c>
      <c r="D31" s="7" t="s">
        <v>526</v>
      </c>
      <c r="E31" s="114">
        <v>14</v>
      </c>
    </row>
    <row r="32" spans="1:5" ht="12.75">
      <c r="A32" s="7" t="s">
        <v>514</v>
      </c>
      <c r="B32" s="7" t="s">
        <v>531</v>
      </c>
      <c r="C32" s="7" t="s">
        <v>532</v>
      </c>
      <c r="D32" s="7" t="s">
        <v>527</v>
      </c>
      <c r="E32" s="114">
        <v>197.2</v>
      </c>
    </row>
    <row r="33" spans="1:5" ht="12.75">
      <c r="A33" s="7" t="s">
        <v>514</v>
      </c>
      <c r="B33" s="7" t="s">
        <v>531</v>
      </c>
      <c r="C33" s="7" t="s">
        <v>533</v>
      </c>
      <c r="D33" s="7" t="s">
        <v>526</v>
      </c>
      <c r="E33" s="114">
        <v>49</v>
      </c>
    </row>
    <row r="34" spans="1:5" ht="12.75">
      <c r="A34" s="7" t="s">
        <v>514</v>
      </c>
      <c r="B34" s="7" t="s">
        <v>531</v>
      </c>
      <c r="C34" s="7" t="s">
        <v>533</v>
      </c>
      <c r="D34" s="7" t="s">
        <v>527</v>
      </c>
      <c r="E34" s="114">
        <v>223.35</v>
      </c>
    </row>
    <row r="35" spans="1:5" ht="12.75">
      <c r="A35" s="7" t="s">
        <v>514</v>
      </c>
      <c r="B35" s="7" t="s">
        <v>531</v>
      </c>
      <c r="C35" s="7" t="s">
        <v>534</v>
      </c>
      <c r="D35" s="7" t="s">
        <v>526</v>
      </c>
      <c r="E35" s="114">
        <v>29</v>
      </c>
    </row>
    <row r="36" spans="1:5" ht="12.75">
      <c r="A36" s="7" t="s">
        <v>514</v>
      </c>
      <c r="B36" s="7" t="s">
        <v>531</v>
      </c>
      <c r="C36" s="7" t="s">
        <v>534</v>
      </c>
      <c r="D36" s="7" t="s">
        <v>527</v>
      </c>
      <c r="E36" s="114">
        <v>183.35</v>
      </c>
    </row>
    <row r="37" spans="1:5" ht="25.5">
      <c r="A37" s="7" t="s">
        <v>514</v>
      </c>
      <c r="B37" s="7" t="s">
        <v>495</v>
      </c>
      <c r="C37" s="7" t="s">
        <v>539</v>
      </c>
      <c r="D37" s="7" t="s">
        <v>535</v>
      </c>
      <c r="E37" s="114">
        <v>3568</v>
      </c>
    </row>
    <row r="38" spans="1:5" ht="25.5">
      <c r="A38" s="7" t="s">
        <v>514</v>
      </c>
      <c r="B38" s="7" t="s">
        <v>495</v>
      </c>
      <c r="C38" s="7" t="s">
        <v>538</v>
      </c>
      <c r="D38" s="7" t="s">
        <v>536</v>
      </c>
      <c r="E38" s="114">
        <v>1500</v>
      </c>
    </row>
    <row r="39" spans="1:5" ht="25.5">
      <c r="A39" s="7" t="s">
        <v>514</v>
      </c>
      <c r="B39" s="7" t="s">
        <v>495</v>
      </c>
      <c r="C39" s="7" t="s">
        <v>540</v>
      </c>
      <c r="D39" s="7" t="s">
        <v>537</v>
      </c>
      <c r="E39" s="114">
        <v>3568</v>
      </c>
    </row>
    <row r="40" spans="1:5" ht="25.5">
      <c r="A40" s="7" t="s">
        <v>514</v>
      </c>
      <c r="B40" s="7" t="s">
        <v>495</v>
      </c>
      <c r="C40" s="7" t="s">
        <v>541</v>
      </c>
      <c r="D40" s="7" t="s">
        <v>536</v>
      </c>
      <c r="E40" s="114">
        <v>1500</v>
      </c>
    </row>
    <row r="41" spans="1:5" ht="12.75">
      <c r="A41" s="7" t="s">
        <v>514</v>
      </c>
      <c r="B41" s="7" t="s">
        <v>542</v>
      </c>
      <c r="C41" s="7" t="s">
        <v>543</v>
      </c>
      <c r="E41" s="114">
        <v>20.89</v>
      </c>
    </row>
    <row r="42" spans="1:5" ht="12.75">
      <c r="A42" s="7" t="s">
        <v>514</v>
      </c>
      <c r="B42" s="7" t="s">
        <v>542</v>
      </c>
      <c r="C42" s="7" t="s">
        <v>544</v>
      </c>
      <c r="D42" s="7" t="s">
        <v>545</v>
      </c>
      <c r="E42" s="114">
        <v>15</v>
      </c>
    </row>
    <row r="43" spans="1:5" ht="12.75">
      <c r="A43" s="7" t="s">
        <v>514</v>
      </c>
      <c r="B43" s="7" t="s">
        <v>542</v>
      </c>
      <c r="C43" s="7" t="s">
        <v>546</v>
      </c>
      <c r="D43" s="7" t="s">
        <v>545</v>
      </c>
      <c r="E43" s="114">
        <v>15</v>
      </c>
    </row>
    <row r="44" spans="1:5" ht="12.75">
      <c r="A44" s="7" t="s">
        <v>514</v>
      </c>
      <c r="B44" s="7" t="s">
        <v>542</v>
      </c>
      <c r="C44" s="7" t="s">
        <v>547</v>
      </c>
      <c r="D44" s="7" t="s">
        <v>545</v>
      </c>
      <c r="E44" s="114">
        <v>30</v>
      </c>
    </row>
    <row r="45" spans="1:5" ht="12.75">
      <c r="A45" s="7" t="s">
        <v>514</v>
      </c>
      <c r="B45" s="7" t="s">
        <v>542</v>
      </c>
      <c r="C45" s="7" t="s">
        <v>548</v>
      </c>
      <c r="D45" s="7" t="s">
        <v>545</v>
      </c>
      <c r="E45" s="114">
        <v>35</v>
      </c>
    </row>
    <row r="46" spans="1:5" ht="12.75">
      <c r="A46" s="7" t="s">
        <v>514</v>
      </c>
      <c r="B46" s="7" t="s">
        <v>542</v>
      </c>
      <c r="C46" s="7" t="s">
        <v>549</v>
      </c>
      <c r="D46" s="7" t="s">
        <v>545</v>
      </c>
      <c r="E46" s="114">
        <v>20</v>
      </c>
    </row>
    <row r="47" spans="1:5" ht="12.75">
      <c r="A47" s="7" t="s">
        <v>514</v>
      </c>
      <c r="B47" s="7" t="s">
        <v>542</v>
      </c>
      <c r="C47" s="7" t="s">
        <v>550</v>
      </c>
      <c r="D47" s="7" t="s">
        <v>545</v>
      </c>
      <c r="E47" s="114">
        <v>20</v>
      </c>
    </row>
    <row r="48" spans="1:5" ht="12.75">
      <c r="A48" s="7" t="s">
        <v>514</v>
      </c>
      <c r="B48" s="7" t="s">
        <v>542</v>
      </c>
      <c r="C48" s="7" t="s">
        <v>551</v>
      </c>
      <c r="D48" s="7" t="s">
        <v>552</v>
      </c>
      <c r="E48" s="114">
        <v>20.35</v>
      </c>
    </row>
    <row r="49" spans="1:5" ht="12.75">
      <c r="A49" s="7" t="s">
        <v>514</v>
      </c>
      <c r="B49" s="7" t="s">
        <v>553</v>
      </c>
      <c r="C49" s="7" t="s">
        <v>554</v>
      </c>
      <c r="D49" s="7" t="s">
        <v>555</v>
      </c>
      <c r="E49" s="114">
        <v>913.69</v>
      </c>
    </row>
    <row r="50" spans="1:5" ht="25.5">
      <c r="A50" s="7" t="s">
        <v>514</v>
      </c>
      <c r="B50" s="7" t="s">
        <v>556</v>
      </c>
      <c r="C50" s="7" t="s">
        <v>557</v>
      </c>
      <c r="D50" s="7" t="s">
        <v>558</v>
      </c>
      <c r="E50" s="114">
        <v>300</v>
      </c>
    </row>
    <row r="51" spans="1:5" ht="25.5">
      <c r="A51" s="7" t="s">
        <v>514</v>
      </c>
      <c r="B51" s="7" t="s">
        <v>556</v>
      </c>
      <c r="C51" s="7" t="s">
        <v>557</v>
      </c>
      <c r="D51" s="7" t="s">
        <v>559</v>
      </c>
      <c r="E51" s="114">
        <v>660</v>
      </c>
    </row>
    <row r="52" spans="1:5" ht="25.5">
      <c r="A52" s="7" t="s">
        <v>514</v>
      </c>
      <c r="B52" s="7" t="s">
        <v>560</v>
      </c>
      <c r="C52" s="7" t="s">
        <v>561</v>
      </c>
      <c r="D52" s="7" t="s">
        <v>562</v>
      </c>
      <c r="E52" s="114">
        <v>59.06</v>
      </c>
    </row>
    <row r="53" spans="1:5" ht="25.5">
      <c r="A53" s="7" t="s">
        <v>514</v>
      </c>
      <c r="B53" s="7" t="s">
        <v>560</v>
      </c>
      <c r="C53" s="7" t="s">
        <v>563</v>
      </c>
      <c r="D53" s="7" t="s">
        <v>564</v>
      </c>
      <c r="E53" s="114">
        <v>43000</v>
      </c>
    </row>
    <row r="54" spans="1:5" ht="25.5">
      <c r="A54" s="7" t="s">
        <v>514</v>
      </c>
      <c r="B54" s="7" t="s">
        <v>560</v>
      </c>
      <c r="C54" s="7" t="s">
        <v>563</v>
      </c>
      <c r="D54" s="7" t="s">
        <v>565</v>
      </c>
      <c r="E54" s="114">
        <v>45000</v>
      </c>
    </row>
    <row r="55" spans="1:5" ht="25.5">
      <c r="A55" s="7" t="s">
        <v>514</v>
      </c>
      <c r="B55" s="7" t="s">
        <v>560</v>
      </c>
      <c r="C55" s="7" t="s">
        <v>563</v>
      </c>
      <c r="D55" s="7" t="s">
        <v>566</v>
      </c>
      <c r="E55" s="114">
        <v>9400</v>
      </c>
    </row>
    <row r="56" spans="1:5" ht="25.5">
      <c r="A56" s="7" t="s">
        <v>514</v>
      </c>
      <c r="B56" s="7" t="s">
        <v>560</v>
      </c>
      <c r="C56" s="7" t="s">
        <v>563</v>
      </c>
      <c r="D56" s="7" t="s">
        <v>567</v>
      </c>
      <c r="E56" s="114">
        <v>12400</v>
      </c>
    </row>
    <row r="57" spans="1:5" ht="25.5">
      <c r="A57" s="7" t="s">
        <v>514</v>
      </c>
      <c r="B57" s="7" t="s">
        <v>560</v>
      </c>
      <c r="C57" s="7" t="s">
        <v>568</v>
      </c>
      <c r="D57" s="7" t="s">
        <v>569</v>
      </c>
      <c r="E57" s="114">
        <v>200</v>
      </c>
    </row>
    <row r="58" spans="1:5" ht="25.5">
      <c r="A58" s="7" t="s">
        <v>514</v>
      </c>
      <c r="B58" s="7" t="s">
        <v>560</v>
      </c>
      <c r="C58" s="7" t="s">
        <v>568</v>
      </c>
      <c r="D58" s="7" t="s">
        <v>570</v>
      </c>
      <c r="E58" s="114">
        <v>157.5</v>
      </c>
    </row>
    <row r="59" spans="1:5" ht="25.5">
      <c r="A59" s="7" t="s">
        <v>514</v>
      </c>
      <c r="B59" s="7" t="s">
        <v>560</v>
      </c>
      <c r="C59" s="7" t="s">
        <v>568</v>
      </c>
      <c r="D59" s="7" t="s">
        <v>574</v>
      </c>
      <c r="E59" s="114">
        <v>300</v>
      </c>
    </row>
    <row r="60" spans="1:5" ht="25.5">
      <c r="A60" s="7" t="s">
        <v>514</v>
      </c>
      <c r="B60" s="7" t="s">
        <v>560</v>
      </c>
      <c r="C60" s="7" t="s">
        <v>568</v>
      </c>
      <c r="D60" s="7" t="s">
        <v>575</v>
      </c>
      <c r="E60" s="114">
        <v>262.51</v>
      </c>
    </row>
    <row r="61" spans="1:5" ht="25.5">
      <c r="A61" s="7" t="s">
        <v>514</v>
      </c>
      <c r="B61" s="7" t="s">
        <v>560</v>
      </c>
      <c r="C61" s="7" t="s">
        <v>568</v>
      </c>
      <c r="D61" s="7" t="s">
        <v>571</v>
      </c>
      <c r="E61" s="114">
        <v>350</v>
      </c>
    </row>
    <row r="62" spans="1:5" ht="25.5">
      <c r="A62" s="7" t="s">
        <v>514</v>
      </c>
      <c r="B62" s="7" t="s">
        <v>560</v>
      </c>
      <c r="C62" s="7" t="s">
        <v>568</v>
      </c>
      <c r="D62" s="7" t="s">
        <v>572</v>
      </c>
      <c r="E62" s="114">
        <v>210.01</v>
      </c>
    </row>
    <row r="63" spans="1:5" ht="25.5">
      <c r="A63" s="7" t="s">
        <v>514</v>
      </c>
      <c r="B63" s="7" t="s">
        <v>560</v>
      </c>
      <c r="C63" s="7" t="s">
        <v>573</v>
      </c>
      <c r="D63" s="7" t="s">
        <v>569</v>
      </c>
      <c r="E63" s="114">
        <v>200</v>
      </c>
    </row>
    <row r="64" spans="1:5" ht="25.5">
      <c r="A64" s="7" t="s">
        <v>514</v>
      </c>
      <c r="B64" s="7" t="s">
        <v>560</v>
      </c>
      <c r="C64" s="7" t="s">
        <v>573</v>
      </c>
      <c r="D64" s="7" t="s">
        <v>570</v>
      </c>
      <c r="E64" s="114">
        <v>157.5</v>
      </c>
    </row>
    <row r="65" spans="1:5" ht="25.5">
      <c r="A65" s="7" t="s">
        <v>514</v>
      </c>
      <c r="B65" s="7" t="s">
        <v>560</v>
      </c>
      <c r="C65" s="7" t="s">
        <v>573</v>
      </c>
      <c r="D65" s="7" t="s">
        <v>574</v>
      </c>
      <c r="E65" s="114">
        <v>300</v>
      </c>
    </row>
    <row r="66" spans="1:5" ht="25.5">
      <c r="A66" s="7" t="s">
        <v>514</v>
      </c>
      <c r="B66" s="7" t="s">
        <v>560</v>
      </c>
      <c r="C66" s="7" t="s">
        <v>573</v>
      </c>
      <c r="D66" s="7" t="s">
        <v>575</v>
      </c>
      <c r="E66" s="114">
        <v>262.51</v>
      </c>
    </row>
    <row r="67" spans="1:5" ht="25.5">
      <c r="A67" s="7" t="s">
        <v>514</v>
      </c>
      <c r="B67" s="7" t="s">
        <v>560</v>
      </c>
      <c r="C67" s="7" t="s">
        <v>573</v>
      </c>
      <c r="D67" s="7" t="s">
        <v>571</v>
      </c>
      <c r="E67" s="114">
        <v>250</v>
      </c>
    </row>
    <row r="68" spans="1:5" ht="25.5">
      <c r="A68" s="7" t="s">
        <v>514</v>
      </c>
      <c r="B68" s="7" t="s">
        <v>560</v>
      </c>
      <c r="C68" s="7" t="s">
        <v>573</v>
      </c>
      <c r="D68" s="7" t="s">
        <v>572</v>
      </c>
      <c r="E68" s="114">
        <v>210.01</v>
      </c>
    </row>
    <row r="69" spans="1:5" ht="25.5">
      <c r="A69" s="7" t="s">
        <v>514</v>
      </c>
      <c r="B69" s="7" t="s">
        <v>576</v>
      </c>
      <c r="C69" s="7" t="s">
        <v>577</v>
      </c>
      <c r="E69" s="114">
        <v>175</v>
      </c>
    </row>
    <row r="70" spans="1:5" ht="38.25">
      <c r="A70" s="7" t="s">
        <v>514</v>
      </c>
      <c r="B70" s="7" t="s">
        <v>576</v>
      </c>
      <c r="C70" s="7" t="s">
        <v>578</v>
      </c>
      <c r="D70" s="7" t="s">
        <v>579</v>
      </c>
      <c r="E70" s="114">
        <v>175</v>
      </c>
    </row>
    <row r="71" spans="1:5" ht="38.25">
      <c r="A71" s="7" t="s">
        <v>514</v>
      </c>
      <c r="B71" s="7" t="s">
        <v>576</v>
      </c>
      <c r="C71" s="7" t="s">
        <v>580</v>
      </c>
      <c r="D71" s="7" t="s">
        <v>579</v>
      </c>
      <c r="E71" s="114">
        <v>125</v>
      </c>
    </row>
    <row r="72" spans="1:5" ht="25.5">
      <c r="A72" s="7" t="s">
        <v>514</v>
      </c>
      <c r="B72" s="7" t="s">
        <v>581</v>
      </c>
      <c r="C72" s="7" t="s">
        <v>582</v>
      </c>
      <c r="E72" s="114">
        <v>1540</v>
      </c>
    </row>
    <row r="73" spans="1:5" ht="25.5">
      <c r="A73" s="7" t="s">
        <v>514</v>
      </c>
      <c r="B73" s="7" t="s">
        <v>583</v>
      </c>
      <c r="E73" s="114">
        <v>1000</v>
      </c>
    </row>
    <row r="74" spans="1:5" ht="38.25">
      <c r="A74" s="7" t="s">
        <v>514</v>
      </c>
      <c r="B74" s="7" t="s">
        <v>515</v>
      </c>
      <c r="E74" s="114">
        <v>1000</v>
      </c>
    </row>
    <row r="75" spans="1:5" ht="12.75">
      <c r="A75" s="7" t="s">
        <v>514</v>
      </c>
      <c r="B75" s="7" t="s">
        <v>584</v>
      </c>
      <c r="C75" s="7" t="s">
        <v>591</v>
      </c>
      <c r="D75" s="7" t="s">
        <v>585</v>
      </c>
      <c r="E75" s="114">
        <v>1012.3</v>
      </c>
    </row>
    <row r="76" spans="1:5" ht="12.75">
      <c r="A76" s="7" t="s">
        <v>514</v>
      </c>
      <c r="B76" s="7" t="s">
        <v>584</v>
      </c>
      <c r="C76" s="7" t="s">
        <v>592</v>
      </c>
      <c r="D76" s="7" t="s">
        <v>586</v>
      </c>
      <c r="E76" s="114">
        <v>521.96</v>
      </c>
    </row>
    <row r="77" spans="1:5" ht="12.75">
      <c r="A77" s="7" t="s">
        <v>514</v>
      </c>
      <c r="B77" s="7" t="s">
        <v>584</v>
      </c>
      <c r="C77" s="7" t="s">
        <v>593</v>
      </c>
      <c r="D77" s="7" t="s">
        <v>587</v>
      </c>
      <c r="E77" s="114">
        <v>1384.53</v>
      </c>
    </row>
    <row r="78" spans="1:5" ht="12.75">
      <c r="A78" s="7" t="s">
        <v>514</v>
      </c>
      <c r="B78" s="7" t="s">
        <v>584</v>
      </c>
      <c r="C78" s="7" t="s">
        <v>594</v>
      </c>
      <c r="D78" s="7" t="s">
        <v>588</v>
      </c>
      <c r="E78" s="114">
        <v>2506.49</v>
      </c>
    </row>
    <row r="79" spans="1:5" ht="12.75">
      <c r="A79" s="7" t="s">
        <v>514</v>
      </c>
      <c r="B79" s="7" t="s">
        <v>584</v>
      </c>
      <c r="C79" s="7" t="s">
        <v>595</v>
      </c>
      <c r="D79" s="7" t="s">
        <v>589</v>
      </c>
      <c r="E79" s="114">
        <v>535.67</v>
      </c>
    </row>
    <row r="80" spans="1:5" ht="12.75">
      <c r="A80" s="7" t="s">
        <v>514</v>
      </c>
      <c r="B80" s="7" t="s">
        <v>584</v>
      </c>
      <c r="C80" s="7" t="s">
        <v>590</v>
      </c>
      <c r="D80" s="7" t="s">
        <v>596</v>
      </c>
      <c r="E80" s="114">
        <v>797.18</v>
      </c>
    </row>
    <row r="81" spans="1:5" ht="12.75">
      <c r="A81" s="7" t="s">
        <v>514</v>
      </c>
      <c r="B81" s="7" t="s">
        <v>584</v>
      </c>
      <c r="C81" s="7" t="s">
        <v>597</v>
      </c>
      <c r="D81" s="7" t="s">
        <v>598</v>
      </c>
      <c r="E81" s="114">
        <v>902.63</v>
      </c>
    </row>
    <row r="82" spans="1:5" ht="25.5">
      <c r="A82" s="7" t="s">
        <v>514</v>
      </c>
      <c r="B82" s="7" t="s">
        <v>599</v>
      </c>
      <c r="C82" s="7" t="s">
        <v>600</v>
      </c>
      <c r="E82" s="114">
        <v>1.2</v>
      </c>
    </row>
    <row r="83" spans="1:5" ht="12.75">
      <c r="A83" s="7" t="s">
        <v>514</v>
      </c>
      <c r="B83" s="7" t="s">
        <v>516</v>
      </c>
      <c r="E83" s="114">
        <v>0.18</v>
      </c>
    </row>
    <row r="84" spans="1:5" ht="25.5">
      <c r="A84" s="7" t="s">
        <v>514</v>
      </c>
      <c r="B84" s="7" t="s">
        <v>601</v>
      </c>
      <c r="C84" s="7" t="s">
        <v>602</v>
      </c>
      <c r="D84" s="7" t="s">
        <v>603</v>
      </c>
      <c r="E84" s="114">
        <v>55.16</v>
      </c>
    </row>
    <row r="85" spans="1:5" ht="12.75" customHeight="1">
      <c r="A85" s="7" t="s">
        <v>514</v>
      </c>
      <c r="B85" s="7" t="s">
        <v>601</v>
      </c>
      <c r="C85" s="7" t="s">
        <v>604</v>
      </c>
      <c r="E85" s="114">
        <v>104.97</v>
      </c>
    </row>
    <row r="86" spans="1:5" ht="12.75">
      <c r="A86" s="7" t="s">
        <v>514</v>
      </c>
      <c r="B86" s="7" t="s">
        <v>601</v>
      </c>
      <c r="C86" s="7" t="s">
        <v>605</v>
      </c>
      <c r="D86" s="7" t="s">
        <v>606</v>
      </c>
      <c r="E86" s="114">
        <v>20</v>
      </c>
    </row>
    <row r="87" spans="1:5" ht="12.75" customHeight="1">
      <c r="A87" s="7" t="s">
        <v>514</v>
      </c>
      <c r="B87" s="7" t="s">
        <v>601</v>
      </c>
      <c r="C87" s="7" t="s">
        <v>605</v>
      </c>
      <c r="E87" s="114">
        <v>35</v>
      </c>
    </row>
    <row r="88" spans="1:5" ht="12.75">
      <c r="A88" s="7" t="s">
        <v>514</v>
      </c>
      <c r="B88" s="7" t="s">
        <v>601</v>
      </c>
      <c r="C88" s="7" t="s">
        <v>608</v>
      </c>
      <c r="E88" s="114">
        <v>88.66</v>
      </c>
    </row>
    <row r="89" spans="1:5" ht="12.75" customHeight="1">
      <c r="A89" s="7" t="s">
        <v>514</v>
      </c>
      <c r="B89" s="7" t="s">
        <v>601</v>
      </c>
      <c r="C89" s="7" t="s">
        <v>607</v>
      </c>
      <c r="D89" s="7" t="s">
        <v>606</v>
      </c>
      <c r="E89" s="114">
        <v>22</v>
      </c>
    </row>
    <row r="90" spans="1:5" ht="12.75" customHeight="1">
      <c r="A90" s="7" t="s">
        <v>514</v>
      </c>
      <c r="B90" s="7" t="s">
        <v>601</v>
      </c>
      <c r="C90" s="7" t="s">
        <v>607</v>
      </c>
      <c r="E90" s="114">
        <v>48.89</v>
      </c>
    </row>
    <row r="91" spans="1:5" ht="12.75">
      <c r="A91" s="7" t="s">
        <v>514</v>
      </c>
      <c r="B91" s="7" t="s">
        <v>601</v>
      </c>
      <c r="C91" s="7" t="s">
        <v>609</v>
      </c>
      <c r="E91" s="114">
        <v>150</v>
      </c>
    </row>
    <row r="92" spans="1:5" ht="12.75">
      <c r="A92" s="7" t="s">
        <v>514</v>
      </c>
      <c r="B92" s="7" t="s">
        <v>601</v>
      </c>
      <c r="C92" s="7" t="s">
        <v>610</v>
      </c>
      <c r="D92" s="7" t="s">
        <v>606</v>
      </c>
      <c r="E92" s="114">
        <v>25</v>
      </c>
    </row>
    <row r="93" spans="1:5" ht="25.5">
      <c r="A93" s="7" t="s">
        <v>514</v>
      </c>
      <c r="B93" s="7" t="s">
        <v>601</v>
      </c>
      <c r="C93" s="7" t="s">
        <v>610</v>
      </c>
      <c r="D93" s="7" t="s">
        <v>611</v>
      </c>
      <c r="E93" s="114">
        <v>22</v>
      </c>
    </row>
    <row r="94" spans="1:5" ht="12.75" customHeight="1">
      <c r="A94" s="7" t="s">
        <v>514</v>
      </c>
      <c r="B94" s="7" t="s">
        <v>601</v>
      </c>
      <c r="C94" s="7" t="s">
        <v>610</v>
      </c>
      <c r="E94" s="114">
        <v>42.5</v>
      </c>
    </row>
    <row r="95" spans="1:5" ht="12.75">
      <c r="A95" s="7" t="s">
        <v>514</v>
      </c>
      <c r="B95" s="7" t="s">
        <v>601</v>
      </c>
      <c r="C95" s="7" t="s">
        <v>612</v>
      </c>
      <c r="E95" s="114">
        <v>150</v>
      </c>
    </row>
    <row r="96" spans="1:5" ht="12.75">
      <c r="A96" s="7" t="s">
        <v>514</v>
      </c>
      <c r="B96" s="7" t="s">
        <v>601</v>
      </c>
      <c r="C96" s="7" t="s">
        <v>613</v>
      </c>
      <c r="D96" s="7" t="s">
        <v>606</v>
      </c>
      <c r="E96" s="114">
        <v>27</v>
      </c>
    </row>
    <row r="97" spans="1:5" ht="12.75">
      <c r="A97" s="7" t="s">
        <v>514</v>
      </c>
      <c r="B97" s="7" t="s">
        <v>601</v>
      </c>
      <c r="C97" s="7" t="s">
        <v>613</v>
      </c>
      <c r="E97" s="114">
        <v>57.5</v>
      </c>
    </row>
    <row r="98" spans="1:5" ht="12.75">
      <c r="A98" s="7" t="s">
        <v>514</v>
      </c>
      <c r="B98" s="7" t="s">
        <v>601</v>
      </c>
      <c r="C98" s="7" t="s">
        <v>614</v>
      </c>
      <c r="E98" s="114">
        <v>125</v>
      </c>
    </row>
    <row r="99" spans="1:5" ht="12.75" customHeight="1">
      <c r="A99" s="7" t="s">
        <v>514</v>
      </c>
      <c r="B99" s="7" t="s">
        <v>601</v>
      </c>
      <c r="C99" s="7" t="s">
        <v>615</v>
      </c>
      <c r="E99" s="114">
        <v>92.71</v>
      </c>
    </row>
    <row r="100" spans="1:5" ht="12.75">
      <c r="A100" s="7" t="s">
        <v>514</v>
      </c>
      <c r="B100" s="7" t="s">
        <v>601</v>
      </c>
      <c r="C100" s="7" t="s">
        <v>616</v>
      </c>
      <c r="E100" s="114">
        <v>130</v>
      </c>
    </row>
    <row r="101" spans="1:5" ht="12.75" customHeight="1">
      <c r="A101" s="7" t="s">
        <v>514</v>
      </c>
      <c r="B101" s="7" t="s">
        <v>601</v>
      </c>
      <c r="C101" s="7" t="s">
        <v>617</v>
      </c>
      <c r="E101" s="114">
        <v>135</v>
      </c>
    </row>
    <row r="102" spans="1:5" ht="31.5" customHeight="1">
      <c r="A102" s="7" t="s">
        <v>514</v>
      </c>
      <c r="B102" s="7" t="s">
        <v>618</v>
      </c>
      <c r="C102" s="7" t="s">
        <v>619</v>
      </c>
      <c r="E102" s="114">
        <v>10.5</v>
      </c>
    </row>
    <row r="103" spans="1:5" ht="25.5">
      <c r="A103" s="7" t="s">
        <v>514</v>
      </c>
      <c r="B103" s="7" t="s">
        <v>621</v>
      </c>
      <c r="C103" s="7" t="s">
        <v>622</v>
      </c>
      <c r="D103" s="7" t="s">
        <v>620</v>
      </c>
      <c r="E103" s="114">
        <v>3270</v>
      </c>
    </row>
    <row r="104" spans="1:5" ht="25.5">
      <c r="A104" s="7" t="s">
        <v>514</v>
      </c>
      <c r="B104" s="7" t="s">
        <v>621</v>
      </c>
      <c r="C104" s="7" t="s">
        <v>622</v>
      </c>
      <c r="D104" s="7" t="s">
        <v>623</v>
      </c>
      <c r="E104" s="114">
        <v>3270</v>
      </c>
    </row>
    <row r="105" spans="1:5" ht="25.5">
      <c r="A105" s="7" t="s">
        <v>514</v>
      </c>
      <c r="B105" s="7" t="s">
        <v>626</v>
      </c>
      <c r="C105" s="7" t="s">
        <v>624</v>
      </c>
      <c r="D105" s="7" t="s">
        <v>625</v>
      </c>
      <c r="E105" s="114">
        <v>74275</v>
      </c>
    </row>
    <row r="106" spans="1:5" ht="25.5">
      <c r="A106" s="7" t="s">
        <v>514</v>
      </c>
      <c r="B106" s="7" t="s">
        <v>626</v>
      </c>
      <c r="C106" s="7" t="s">
        <v>624</v>
      </c>
      <c r="D106" s="7" t="s">
        <v>625</v>
      </c>
      <c r="E106" s="114">
        <v>5375</v>
      </c>
    </row>
    <row r="107" spans="1:5" ht="25.5">
      <c r="A107" s="7" t="s">
        <v>514</v>
      </c>
      <c r="B107" s="7" t="s">
        <v>627</v>
      </c>
      <c r="C107" s="7" t="s">
        <v>628</v>
      </c>
      <c r="E107" s="114">
        <v>150</v>
      </c>
    </row>
    <row r="108" spans="1:5" ht="25.5">
      <c r="A108" s="7" t="s">
        <v>514</v>
      </c>
      <c r="B108" s="7" t="s">
        <v>627</v>
      </c>
      <c r="C108" s="7" t="s">
        <v>629</v>
      </c>
      <c r="E108" s="114">
        <v>150</v>
      </c>
    </row>
    <row r="109" spans="1:5" ht="25.5">
      <c r="A109" s="7" t="s">
        <v>514</v>
      </c>
      <c r="B109" s="7" t="s">
        <v>631</v>
      </c>
      <c r="C109" s="7" t="s">
        <v>630</v>
      </c>
      <c r="E109" s="114">
        <v>61</v>
      </c>
    </row>
    <row r="110" spans="1:5" ht="38.25">
      <c r="A110" s="7" t="s">
        <v>514</v>
      </c>
      <c r="B110" s="7" t="s">
        <v>632</v>
      </c>
      <c r="C110" s="7" t="s">
        <v>633</v>
      </c>
      <c r="D110" s="7" t="s">
        <v>606</v>
      </c>
      <c r="E110" s="114">
        <v>50</v>
      </c>
    </row>
    <row r="111" spans="1:5" ht="38.25">
      <c r="A111" s="7" t="s">
        <v>514</v>
      </c>
      <c r="B111" s="7" t="s">
        <v>632</v>
      </c>
      <c r="C111" s="7" t="s">
        <v>633</v>
      </c>
      <c r="E111" s="114">
        <v>35</v>
      </c>
    </row>
    <row r="112" spans="1:5" ht="38.25">
      <c r="A112" s="7" t="s">
        <v>514</v>
      </c>
      <c r="B112" s="7" t="s">
        <v>632</v>
      </c>
      <c r="C112" s="7" t="s">
        <v>634</v>
      </c>
      <c r="D112" s="7" t="s">
        <v>606</v>
      </c>
      <c r="E112" s="114">
        <v>52.5</v>
      </c>
    </row>
    <row r="113" spans="1:5" ht="38.25">
      <c r="A113" s="7" t="s">
        <v>514</v>
      </c>
      <c r="B113" s="7" t="s">
        <v>632</v>
      </c>
      <c r="C113" s="7" t="s">
        <v>635</v>
      </c>
      <c r="D113" s="7" t="s">
        <v>606</v>
      </c>
      <c r="E113" s="114">
        <v>52.5</v>
      </c>
    </row>
    <row r="114" spans="1:5" ht="38.25">
      <c r="A114" s="7" t="s">
        <v>514</v>
      </c>
      <c r="B114" s="7" t="s">
        <v>632</v>
      </c>
      <c r="C114" s="7" t="s">
        <v>635</v>
      </c>
      <c r="E114" s="114">
        <v>52.5</v>
      </c>
    </row>
    <row r="115" spans="1:5" ht="38.25">
      <c r="A115" s="7" t="s">
        <v>514</v>
      </c>
      <c r="B115" s="7" t="s">
        <v>632</v>
      </c>
      <c r="C115" s="7" t="s">
        <v>634</v>
      </c>
      <c r="E115" s="114">
        <v>35</v>
      </c>
    </row>
    <row r="116" spans="1:5" ht="38.25">
      <c r="A116" s="7" t="s">
        <v>514</v>
      </c>
      <c r="B116" s="7" t="s">
        <v>632</v>
      </c>
      <c r="C116" s="7" t="s">
        <v>636</v>
      </c>
      <c r="E116" s="114">
        <v>80</v>
      </c>
    </row>
    <row r="117" spans="1:5" ht="38.25">
      <c r="A117" s="7" t="s">
        <v>514</v>
      </c>
      <c r="B117" s="7" t="s">
        <v>632</v>
      </c>
      <c r="C117" s="7" t="s">
        <v>637</v>
      </c>
      <c r="D117" s="7" t="s">
        <v>606</v>
      </c>
      <c r="E117" s="114">
        <v>55</v>
      </c>
    </row>
    <row r="118" spans="1:5" ht="38.25">
      <c r="A118" s="7" t="s">
        <v>514</v>
      </c>
      <c r="B118" s="7" t="s">
        <v>632</v>
      </c>
      <c r="C118" s="7" t="s">
        <v>637</v>
      </c>
      <c r="E118" s="114">
        <v>35</v>
      </c>
    </row>
    <row r="119" spans="1:5" ht="25.5">
      <c r="A119" s="7" t="s">
        <v>514</v>
      </c>
      <c r="B119" s="7" t="s">
        <v>638</v>
      </c>
      <c r="C119" s="7" t="s">
        <v>639</v>
      </c>
      <c r="D119" s="7" t="s">
        <v>640</v>
      </c>
      <c r="E119" s="114">
        <v>430.72</v>
      </c>
    </row>
    <row r="120" spans="1:8" ht="38.25">
      <c r="A120" s="7" t="s">
        <v>514</v>
      </c>
      <c r="B120" s="7" t="s">
        <v>641</v>
      </c>
      <c r="C120" s="7" t="s">
        <v>642</v>
      </c>
      <c r="D120" s="7" t="s">
        <v>643</v>
      </c>
      <c r="E120" s="114">
        <v>80</v>
      </c>
      <c r="G120"/>
      <c r="H120"/>
    </row>
    <row r="121" spans="1:8" ht="38.25">
      <c r="A121" s="7" t="s">
        <v>514</v>
      </c>
      <c r="B121" s="7" t="s">
        <v>641</v>
      </c>
      <c r="C121" s="7" t="s">
        <v>642</v>
      </c>
      <c r="E121" s="114">
        <v>65</v>
      </c>
      <c r="G121"/>
      <c r="H121"/>
    </row>
    <row r="122" spans="1:8" ht="38.25">
      <c r="A122" s="7" t="s">
        <v>514</v>
      </c>
      <c r="B122" s="7" t="s">
        <v>641</v>
      </c>
      <c r="C122" s="7" t="s">
        <v>644</v>
      </c>
      <c r="D122" s="7" t="s">
        <v>606</v>
      </c>
      <c r="E122" s="114">
        <v>75</v>
      </c>
      <c r="G122"/>
      <c r="H122"/>
    </row>
    <row r="123" spans="1:8" ht="38.25">
      <c r="A123" s="7" t="s">
        <v>514</v>
      </c>
      <c r="B123" s="7" t="s">
        <v>641</v>
      </c>
      <c r="C123" s="7" t="s">
        <v>644</v>
      </c>
      <c r="E123" s="114">
        <v>55</v>
      </c>
      <c r="G123"/>
      <c r="H123"/>
    </row>
    <row r="124" spans="1:8" ht="38.25">
      <c r="A124" s="7" t="s">
        <v>514</v>
      </c>
      <c r="B124" s="7" t="s">
        <v>641</v>
      </c>
      <c r="C124" s="7" t="s">
        <v>645</v>
      </c>
      <c r="D124" s="7" t="s">
        <v>643</v>
      </c>
      <c r="E124" s="114">
        <v>95</v>
      </c>
      <c r="G124"/>
      <c r="H124"/>
    </row>
    <row r="125" spans="1:8" ht="38.25">
      <c r="A125" s="7" t="s">
        <v>514</v>
      </c>
      <c r="B125" s="7" t="s">
        <v>641</v>
      </c>
      <c r="C125" s="7" t="s">
        <v>645</v>
      </c>
      <c r="E125" s="114">
        <v>75</v>
      </c>
      <c r="G125"/>
      <c r="H125"/>
    </row>
    <row r="126" spans="1:8" ht="38.25">
      <c r="A126" s="7" t="s">
        <v>514</v>
      </c>
      <c r="B126" s="7" t="s">
        <v>641</v>
      </c>
      <c r="C126" s="7" t="s">
        <v>646</v>
      </c>
      <c r="D126" s="7" t="s">
        <v>606</v>
      </c>
      <c r="E126" s="114">
        <v>90</v>
      </c>
      <c r="G126"/>
      <c r="H126"/>
    </row>
    <row r="127" spans="1:8" ht="38.25">
      <c r="A127" s="7" t="s">
        <v>514</v>
      </c>
      <c r="B127" s="7" t="s">
        <v>641</v>
      </c>
      <c r="C127" s="7" t="s">
        <v>646</v>
      </c>
      <c r="E127" s="114">
        <v>65</v>
      </c>
      <c r="G127"/>
      <c r="H127"/>
    </row>
    <row r="128" spans="1:8" ht="38.25">
      <c r="A128" s="7" t="s">
        <v>514</v>
      </c>
      <c r="B128" s="7" t="s">
        <v>641</v>
      </c>
      <c r="C128" s="7" t="s">
        <v>647</v>
      </c>
      <c r="D128" s="7" t="s">
        <v>606</v>
      </c>
      <c r="E128" s="114">
        <v>102.5</v>
      </c>
      <c r="G128"/>
      <c r="H128"/>
    </row>
    <row r="129" spans="1:8" ht="38.25">
      <c r="A129" s="7" t="s">
        <v>514</v>
      </c>
      <c r="B129" s="7" t="s">
        <v>641</v>
      </c>
      <c r="C129" s="7" t="s">
        <v>647</v>
      </c>
      <c r="E129" s="114">
        <v>75</v>
      </c>
      <c r="G129"/>
      <c r="H129"/>
    </row>
    <row r="130" spans="1:8" ht="38.25">
      <c r="A130" s="7" t="s">
        <v>514</v>
      </c>
      <c r="B130" s="7" t="s">
        <v>648</v>
      </c>
      <c r="C130" s="7" t="s">
        <v>649</v>
      </c>
      <c r="D130" s="7" t="s">
        <v>606</v>
      </c>
      <c r="E130" s="114">
        <v>50</v>
      </c>
      <c r="G130"/>
      <c r="H130"/>
    </row>
    <row r="131" spans="1:8" ht="38.25">
      <c r="A131" s="7" t="s">
        <v>514</v>
      </c>
      <c r="B131" s="7" t="s">
        <v>648</v>
      </c>
      <c r="C131" s="7" t="s">
        <v>649</v>
      </c>
      <c r="E131" s="114">
        <v>30</v>
      </c>
      <c r="G131"/>
      <c r="H131"/>
    </row>
    <row r="132" spans="1:8" ht="38.25">
      <c r="A132" s="7" t="s">
        <v>514</v>
      </c>
      <c r="B132" s="7" t="s">
        <v>648</v>
      </c>
      <c r="C132" s="7" t="s">
        <v>645</v>
      </c>
      <c r="E132" s="114">
        <v>80</v>
      </c>
      <c r="G132"/>
      <c r="H132"/>
    </row>
    <row r="133" spans="1:8" ht="38.25">
      <c r="A133" s="7" t="s">
        <v>514</v>
      </c>
      <c r="B133" s="7" t="s">
        <v>648</v>
      </c>
      <c r="C133" s="7" t="s">
        <v>650</v>
      </c>
      <c r="E133" s="114">
        <v>30</v>
      </c>
      <c r="G133"/>
      <c r="H133"/>
    </row>
    <row r="134" spans="1:8" ht="38.25">
      <c r="A134" s="7" t="s">
        <v>514</v>
      </c>
      <c r="B134" s="7" t="s">
        <v>648</v>
      </c>
      <c r="C134" s="7" t="s">
        <v>646</v>
      </c>
      <c r="D134" s="7" t="s">
        <v>606</v>
      </c>
      <c r="E134" s="114">
        <v>52.5</v>
      </c>
      <c r="G134"/>
      <c r="H134"/>
    </row>
    <row r="135" spans="1:8" ht="38.25">
      <c r="A135" s="7" t="s">
        <v>514</v>
      </c>
      <c r="B135" s="7" t="s">
        <v>648</v>
      </c>
      <c r="C135" s="7" t="s">
        <v>650</v>
      </c>
      <c r="D135" s="7" t="s">
        <v>606</v>
      </c>
      <c r="E135" s="114">
        <v>52.5</v>
      </c>
      <c r="G135"/>
      <c r="H135"/>
    </row>
    <row r="136" spans="1:8" ht="38.25">
      <c r="A136" s="7" t="s">
        <v>514</v>
      </c>
      <c r="B136" s="7" t="s">
        <v>648</v>
      </c>
      <c r="C136" s="7" t="s">
        <v>646</v>
      </c>
      <c r="E136" s="114">
        <v>30</v>
      </c>
      <c r="G136"/>
      <c r="H136"/>
    </row>
    <row r="137" spans="1:8" ht="38.25">
      <c r="A137" s="7" t="s">
        <v>514</v>
      </c>
      <c r="B137" s="7" t="s">
        <v>648</v>
      </c>
      <c r="C137" s="7" t="s">
        <v>651</v>
      </c>
      <c r="E137" s="114">
        <v>100</v>
      </c>
      <c r="G137"/>
      <c r="H137"/>
    </row>
    <row r="138" spans="1:8" ht="38.25">
      <c r="A138" s="7" t="s">
        <v>514</v>
      </c>
      <c r="B138" s="7" t="s">
        <v>648</v>
      </c>
      <c r="C138" s="7" t="s">
        <v>647</v>
      </c>
      <c r="D138" s="7" t="s">
        <v>606</v>
      </c>
      <c r="E138" s="114">
        <v>55</v>
      </c>
      <c r="G138"/>
      <c r="H138"/>
    </row>
    <row r="139" spans="1:8" ht="38.25">
      <c r="A139" s="7" t="s">
        <v>514</v>
      </c>
      <c r="B139" s="7" t="s">
        <v>648</v>
      </c>
      <c r="C139" s="7" t="s">
        <v>647</v>
      </c>
      <c r="E139" s="114">
        <v>30</v>
      </c>
      <c r="G139"/>
      <c r="H139"/>
    </row>
    <row r="140" spans="1:8" ht="25.5">
      <c r="A140" s="7" t="s">
        <v>514</v>
      </c>
      <c r="B140" s="7" t="s">
        <v>652</v>
      </c>
      <c r="C140" s="7" t="s">
        <v>653</v>
      </c>
      <c r="E140" s="114">
        <v>30</v>
      </c>
      <c r="G140"/>
      <c r="H140"/>
    </row>
    <row r="141" spans="1:8" ht="38.25">
      <c r="A141" s="7" t="s">
        <v>514</v>
      </c>
      <c r="B141" s="7" t="s">
        <v>654</v>
      </c>
      <c r="E141" s="114">
        <v>137</v>
      </c>
      <c r="G141"/>
      <c r="H141"/>
    </row>
    <row r="142" spans="1:8" ht="38.25">
      <c r="A142" s="7" t="s">
        <v>514</v>
      </c>
      <c r="B142" s="7" t="s">
        <v>654</v>
      </c>
      <c r="E142" s="114">
        <v>75</v>
      </c>
      <c r="G142"/>
      <c r="H142"/>
    </row>
    <row r="143" spans="1:8" ht="25.5">
      <c r="A143" s="7" t="s">
        <v>514</v>
      </c>
      <c r="B143" s="7" t="s">
        <v>655</v>
      </c>
      <c r="C143" s="7" t="s">
        <v>656</v>
      </c>
      <c r="D143" s="7" t="s">
        <v>657</v>
      </c>
      <c r="E143" s="114">
        <v>1.07</v>
      </c>
      <c r="G143"/>
      <c r="H143"/>
    </row>
    <row r="144" spans="1:8" ht="12.75">
      <c r="A144" s="7" t="s">
        <v>514</v>
      </c>
      <c r="B144" s="7" t="s">
        <v>655</v>
      </c>
      <c r="C144" s="7" t="s">
        <v>658</v>
      </c>
      <c r="E144" s="114">
        <v>30</v>
      </c>
      <c r="G144"/>
      <c r="H144"/>
    </row>
    <row r="145" spans="1:8" ht="25.5">
      <c r="A145" s="7" t="s">
        <v>514</v>
      </c>
      <c r="B145" s="7" t="s">
        <v>655</v>
      </c>
      <c r="C145" s="7" t="s">
        <v>659</v>
      </c>
      <c r="D145" s="7" t="s">
        <v>660</v>
      </c>
      <c r="E145" s="114">
        <v>10</v>
      </c>
      <c r="G145"/>
      <c r="H145"/>
    </row>
    <row r="146" spans="1:8" ht="25.5">
      <c r="A146" s="7" t="s">
        <v>514</v>
      </c>
      <c r="B146" s="7" t="s">
        <v>655</v>
      </c>
      <c r="C146" s="7" t="s">
        <v>659</v>
      </c>
      <c r="D146" s="7" t="s">
        <v>661</v>
      </c>
      <c r="E146" s="114">
        <v>10</v>
      </c>
      <c r="G146"/>
      <c r="H146"/>
    </row>
    <row r="147" spans="1:8" ht="25.5">
      <c r="A147" s="7" t="s">
        <v>514</v>
      </c>
      <c r="B147" s="7" t="s">
        <v>662</v>
      </c>
      <c r="C147" s="7" t="s">
        <v>663</v>
      </c>
      <c r="E147" s="114">
        <v>91</v>
      </c>
      <c r="G147"/>
      <c r="H147"/>
    </row>
    <row r="148" spans="1:8" ht="12.75">
      <c r="A148" s="7" t="s">
        <v>514</v>
      </c>
      <c r="B148" s="7" t="s">
        <v>662</v>
      </c>
      <c r="C148" s="7" t="s">
        <v>664</v>
      </c>
      <c r="E148" s="114">
        <v>151</v>
      </c>
      <c r="G148"/>
      <c r="H148"/>
    </row>
    <row r="149" spans="1:8" ht="12.75">
      <c r="A149" s="7" t="s">
        <v>514</v>
      </c>
      <c r="B149" s="7" t="s">
        <v>662</v>
      </c>
      <c r="C149" s="7" t="s">
        <v>665</v>
      </c>
      <c r="E149" s="114">
        <v>249</v>
      </c>
      <c r="G149"/>
      <c r="H149"/>
    </row>
    <row r="150" spans="1:8" ht="12.75">
      <c r="A150" s="7" t="s">
        <v>514</v>
      </c>
      <c r="B150" s="7" t="s">
        <v>662</v>
      </c>
      <c r="C150" s="7" t="s">
        <v>666</v>
      </c>
      <c r="E150" s="114">
        <v>99</v>
      </c>
      <c r="G150"/>
      <c r="H150"/>
    </row>
    <row r="151" spans="1:8" ht="12.75">
      <c r="A151" s="7" t="s">
        <v>514</v>
      </c>
      <c r="B151" s="7" t="s">
        <v>662</v>
      </c>
      <c r="C151" s="7" t="s">
        <v>667</v>
      </c>
      <c r="E151" s="114">
        <v>134</v>
      </c>
      <c r="G151"/>
      <c r="H151"/>
    </row>
    <row r="152" spans="1:8" ht="25.5">
      <c r="A152" s="7" t="s">
        <v>514</v>
      </c>
      <c r="B152" s="7" t="s">
        <v>662</v>
      </c>
      <c r="C152" s="7" t="s">
        <v>668</v>
      </c>
      <c r="E152" s="114">
        <v>99</v>
      </c>
      <c r="G152"/>
      <c r="H152"/>
    </row>
    <row r="153" spans="1:8" ht="12.75">
      <c r="A153" s="7" t="s">
        <v>514</v>
      </c>
      <c r="B153" s="7" t="s">
        <v>662</v>
      </c>
      <c r="C153" s="7" t="s">
        <v>669</v>
      </c>
      <c r="E153" s="114">
        <v>154</v>
      </c>
      <c r="G153"/>
      <c r="H153"/>
    </row>
    <row r="154" spans="1:8" ht="25.5">
      <c r="A154" s="7" t="s">
        <v>514</v>
      </c>
      <c r="B154" s="7" t="s">
        <v>332</v>
      </c>
      <c r="C154" s="7" t="s">
        <v>670</v>
      </c>
      <c r="D154" s="7" t="s">
        <v>689</v>
      </c>
      <c r="E154" s="114">
        <v>86</v>
      </c>
      <c r="F154"/>
      <c r="G154"/>
      <c r="H154"/>
    </row>
    <row r="155" spans="1:8" ht="12.75">
      <c r="A155" s="7" t="s">
        <v>514</v>
      </c>
      <c r="B155" s="7" t="s">
        <v>332</v>
      </c>
      <c r="C155" s="7" t="s">
        <v>671</v>
      </c>
      <c r="D155" s="7" t="s">
        <v>690</v>
      </c>
      <c r="E155" s="114">
        <v>35</v>
      </c>
      <c r="F155"/>
      <c r="G155"/>
      <c r="H155"/>
    </row>
    <row r="156" spans="1:8" ht="12.75">
      <c r="A156" s="7" t="s">
        <v>514</v>
      </c>
      <c r="B156" s="7" t="s">
        <v>332</v>
      </c>
      <c r="C156" s="7" t="s">
        <v>672</v>
      </c>
      <c r="D156" s="7" t="s">
        <v>690</v>
      </c>
      <c r="E156" s="114">
        <v>92</v>
      </c>
      <c r="F156"/>
      <c r="G156"/>
      <c r="H156"/>
    </row>
    <row r="157" spans="1:8" ht="12.75">
      <c r="A157" s="7" t="s">
        <v>514</v>
      </c>
      <c r="B157" s="7" t="s">
        <v>332</v>
      </c>
      <c r="C157" s="7" t="s">
        <v>673</v>
      </c>
      <c r="D157" s="7" t="s">
        <v>690</v>
      </c>
      <c r="E157" s="114">
        <v>124</v>
      </c>
      <c r="F157"/>
      <c r="G157"/>
      <c r="H157"/>
    </row>
    <row r="158" spans="1:8" ht="12.75">
      <c r="A158" s="7" t="s">
        <v>514</v>
      </c>
      <c r="B158" s="7" t="s">
        <v>332</v>
      </c>
      <c r="C158" s="7" t="s">
        <v>674</v>
      </c>
      <c r="D158" s="7" t="s">
        <v>690</v>
      </c>
      <c r="E158" s="114">
        <v>1106</v>
      </c>
      <c r="F158"/>
      <c r="G158"/>
      <c r="H158"/>
    </row>
    <row r="159" spans="1:8" ht="12.75">
      <c r="A159" s="7" t="s">
        <v>514</v>
      </c>
      <c r="B159" s="7" t="s">
        <v>332</v>
      </c>
      <c r="C159" s="7" t="s">
        <v>675</v>
      </c>
      <c r="D159" s="7" t="s">
        <v>690</v>
      </c>
      <c r="E159" s="114">
        <v>114</v>
      </c>
      <c r="F159"/>
      <c r="G159"/>
      <c r="H159"/>
    </row>
    <row r="160" spans="1:8" ht="12.75">
      <c r="A160" s="7" t="s">
        <v>514</v>
      </c>
      <c r="B160" s="7" t="s">
        <v>332</v>
      </c>
      <c r="C160" s="7" t="s">
        <v>676</v>
      </c>
      <c r="D160" s="7" t="s">
        <v>690</v>
      </c>
      <c r="E160" s="114">
        <v>630</v>
      </c>
      <c r="F160"/>
      <c r="G160"/>
      <c r="H160"/>
    </row>
    <row r="161" spans="1:8" ht="12.75">
      <c r="A161" s="7" t="s">
        <v>514</v>
      </c>
      <c r="B161" s="7" t="s">
        <v>332</v>
      </c>
      <c r="C161" s="7" t="s">
        <v>677</v>
      </c>
      <c r="D161" s="7" t="s">
        <v>690</v>
      </c>
      <c r="E161" s="114">
        <v>92</v>
      </c>
      <c r="F161"/>
      <c r="G161"/>
      <c r="H161"/>
    </row>
    <row r="162" spans="1:8" ht="12.75">
      <c r="A162" s="7" t="s">
        <v>514</v>
      </c>
      <c r="B162" s="7" t="s">
        <v>332</v>
      </c>
      <c r="C162" s="7" t="s">
        <v>678</v>
      </c>
      <c r="D162" s="7" t="s">
        <v>690</v>
      </c>
      <c r="E162" s="114">
        <v>598</v>
      </c>
      <c r="F162"/>
      <c r="G162"/>
      <c r="H162"/>
    </row>
    <row r="163" spans="1:8" ht="12.75">
      <c r="A163" s="7" t="s">
        <v>514</v>
      </c>
      <c r="B163" s="7" t="s">
        <v>332</v>
      </c>
      <c r="C163" s="7" t="s">
        <v>679</v>
      </c>
      <c r="D163" s="7" t="s">
        <v>690</v>
      </c>
      <c r="E163" s="114">
        <v>227</v>
      </c>
      <c r="F163"/>
      <c r="G163"/>
      <c r="H163"/>
    </row>
    <row r="164" spans="1:8" ht="12.75">
      <c r="A164" s="7" t="s">
        <v>514</v>
      </c>
      <c r="B164" s="7" t="s">
        <v>332</v>
      </c>
      <c r="C164" s="7" t="s">
        <v>680</v>
      </c>
      <c r="D164" s="7" t="s">
        <v>690</v>
      </c>
      <c r="E164" s="114">
        <v>40</v>
      </c>
      <c r="F164"/>
      <c r="G164"/>
      <c r="H164"/>
    </row>
    <row r="165" spans="1:8" ht="12.75">
      <c r="A165" s="7" t="s">
        <v>514</v>
      </c>
      <c r="B165" s="7" t="s">
        <v>332</v>
      </c>
      <c r="C165" s="7" t="s">
        <v>681</v>
      </c>
      <c r="D165" s="7" t="s">
        <v>690</v>
      </c>
      <c r="E165" s="114">
        <v>214</v>
      </c>
      <c r="F165"/>
      <c r="G165"/>
      <c r="H165"/>
    </row>
    <row r="166" spans="1:8" ht="12.75">
      <c r="A166" s="7" t="s">
        <v>514</v>
      </c>
      <c r="B166" s="7" t="s">
        <v>332</v>
      </c>
      <c r="C166" s="7" t="s">
        <v>682</v>
      </c>
      <c r="D166" s="7" t="s">
        <v>690</v>
      </c>
      <c r="E166" s="114">
        <v>495</v>
      </c>
      <c r="F166"/>
      <c r="G166"/>
      <c r="H166"/>
    </row>
    <row r="167" spans="1:8" ht="12.75">
      <c r="A167" s="7" t="s">
        <v>514</v>
      </c>
      <c r="B167" s="7" t="s">
        <v>332</v>
      </c>
      <c r="C167" s="7" t="s">
        <v>683</v>
      </c>
      <c r="D167" s="7" t="s">
        <v>690</v>
      </c>
      <c r="E167" s="114">
        <v>50</v>
      </c>
      <c r="F167"/>
      <c r="G167"/>
      <c r="H167"/>
    </row>
    <row r="168" spans="1:8" ht="12.75">
      <c r="A168" s="7" t="s">
        <v>514</v>
      </c>
      <c r="B168" s="7" t="s">
        <v>332</v>
      </c>
      <c r="C168" s="7" t="s">
        <v>684</v>
      </c>
      <c r="D168" s="7" t="s">
        <v>690</v>
      </c>
      <c r="E168" s="114">
        <v>382</v>
      </c>
      <c r="F168"/>
      <c r="G168"/>
      <c r="H168"/>
    </row>
    <row r="169" spans="1:8" ht="12.75">
      <c r="A169" s="7" t="s">
        <v>514</v>
      </c>
      <c r="B169" s="7" t="s">
        <v>332</v>
      </c>
      <c r="C169" s="7" t="s">
        <v>685</v>
      </c>
      <c r="D169" s="7" t="s">
        <v>690</v>
      </c>
      <c r="E169" s="114">
        <v>259</v>
      </c>
      <c r="F169"/>
      <c r="G169"/>
      <c r="H169"/>
    </row>
    <row r="170" spans="1:8" ht="12.75">
      <c r="A170" s="7" t="s">
        <v>514</v>
      </c>
      <c r="B170" s="7" t="s">
        <v>332</v>
      </c>
      <c r="C170" s="7" t="s">
        <v>686</v>
      </c>
      <c r="D170" s="7" t="s">
        <v>690</v>
      </c>
      <c r="E170" s="114">
        <v>69</v>
      </c>
      <c r="F170"/>
      <c r="G170"/>
      <c r="H170"/>
    </row>
    <row r="171" spans="1:8" ht="12.75">
      <c r="A171" s="7" t="s">
        <v>514</v>
      </c>
      <c r="B171" s="7" t="s">
        <v>332</v>
      </c>
      <c r="C171" s="7" t="s">
        <v>687</v>
      </c>
      <c r="D171" s="7" t="s">
        <v>690</v>
      </c>
      <c r="E171" s="114">
        <v>35</v>
      </c>
      <c r="F171"/>
      <c r="G171"/>
      <c r="H171"/>
    </row>
    <row r="172" spans="1:8" ht="12.75">
      <c r="A172" s="7" t="s">
        <v>514</v>
      </c>
      <c r="B172" s="7" t="s">
        <v>332</v>
      </c>
      <c r="C172" s="7" t="s">
        <v>688</v>
      </c>
      <c r="D172" s="7" t="s">
        <v>691</v>
      </c>
      <c r="E172" s="114">
        <v>86</v>
      </c>
      <c r="F172"/>
      <c r="G172"/>
      <c r="H172"/>
    </row>
    <row r="173" spans="1:8" ht="12.75">
      <c r="A173" s="7" t="s">
        <v>514</v>
      </c>
      <c r="B173" s="7" t="s">
        <v>332</v>
      </c>
      <c r="C173" s="7" t="s">
        <v>692</v>
      </c>
      <c r="D173" s="7" t="s">
        <v>691</v>
      </c>
      <c r="E173" s="114">
        <v>35</v>
      </c>
      <c r="F173"/>
      <c r="G173"/>
      <c r="H173"/>
    </row>
    <row r="174" spans="1:8" ht="12.75">
      <c r="A174" s="7" t="s">
        <v>514</v>
      </c>
      <c r="B174" s="7" t="s">
        <v>332</v>
      </c>
      <c r="C174" s="7" t="s">
        <v>693</v>
      </c>
      <c r="D174" s="7" t="s">
        <v>691</v>
      </c>
      <c r="E174" s="114">
        <v>92</v>
      </c>
      <c r="F174"/>
      <c r="G174"/>
      <c r="H174"/>
    </row>
    <row r="175" spans="1:8" ht="12.75">
      <c r="A175" s="7" t="s">
        <v>514</v>
      </c>
      <c r="B175" s="7" t="s">
        <v>332</v>
      </c>
      <c r="C175" s="7" t="s">
        <v>694</v>
      </c>
      <c r="D175" s="7" t="s">
        <v>691</v>
      </c>
      <c r="E175" s="114">
        <v>124</v>
      </c>
      <c r="F175"/>
      <c r="G175"/>
      <c r="H175"/>
    </row>
    <row r="176" spans="1:8" ht="12.75">
      <c r="A176" s="7" t="s">
        <v>514</v>
      </c>
      <c r="B176" s="7" t="s">
        <v>332</v>
      </c>
      <c r="C176" s="7" t="s">
        <v>695</v>
      </c>
      <c r="D176" s="7" t="s">
        <v>691</v>
      </c>
      <c r="E176" s="114">
        <v>1106</v>
      </c>
      <c r="F176"/>
      <c r="G176"/>
      <c r="H176"/>
    </row>
    <row r="177" spans="1:8" ht="12.75">
      <c r="A177" s="7" t="s">
        <v>514</v>
      </c>
      <c r="B177" s="7" t="s">
        <v>332</v>
      </c>
      <c r="C177" s="7" t="s">
        <v>696</v>
      </c>
      <c r="D177" s="7" t="s">
        <v>691</v>
      </c>
      <c r="E177" s="114">
        <v>114</v>
      </c>
      <c r="F177"/>
      <c r="G177"/>
      <c r="H177"/>
    </row>
    <row r="178" spans="1:8" ht="12.75">
      <c r="A178" s="7" t="s">
        <v>514</v>
      </c>
      <c r="B178" s="7" t="s">
        <v>332</v>
      </c>
      <c r="C178" s="7" t="s">
        <v>697</v>
      </c>
      <c r="D178" s="7" t="s">
        <v>691</v>
      </c>
      <c r="E178" s="114">
        <v>630</v>
      </c>
      <c r="F178"/>
      <c r="G178"/>
      <c r="H178"/>
    </row>
    <row r="179" spans="1:8" ht="12.75">
      <c r="A179" s="7" t="s">
        <v>514</v>
      </c>
      <c r="B179" s="7" t="s">
        <v>332</v>
      </c>
      <c r="C179" s="7" t="s">
        <v>698</v>
      </c>
      <c r="D179" s="7" t="s">
        <v>691</v>
      </c>
      <c r="E179" s="114">
        <v>92</v>
      </c>
      <c r="F179"/>
      <c r="G179"/>
      <c r="H179"/>
    </row>
    <row r="180" spans="1:8" ht="12.75">
      <c r="A180" s="7" t="s">
        <v>514</v>
      </c>
      <c r="B180" s="7" t="s">
        <v>332</v>
      </c>
      <c r="C180" s="7" t="s">
        <v>699</v>
      </c>
      <c r="D180" s="7" t="s">
        <v>691</v>
      </c>
      <c r="E180" s="114">
        <v>598</v>
      </c>
      <c r="F180"/>
      <c r="G180"/>
      <c r="H180"/>
    </row>
    <row r="181" spans="1:8" ht="12.75">
      <c r="A181" s="7" t="s">
        <v>514</v>
      </c>
      <c r="B181" s="7" t="s">
        <v>332</v>
      </c>
      <c r="C181" s="7" t="s">
        <v>700</v>
      </c>
      <c r="D181" s="7" t="s">
        <v>691</v>
      </c>
      <c r="E181" s="114">
        <v>227</v>
      </c>
      <c r="F181"/>
      <c r="G181"/>
      <c r="H181"/>
    </row>
    <row r="182" spans="1:8" ht="12.75">
      <c r="A182" s="7" t="s">
        <v>514</v>
      </c>
      <c r="B182" s="7" t="s">
        <v>332</v>
      </c>
      <c r="C182" s="7" t="s">
        <v>701</v>
      </c>
      <c r="D182" s="7" t="s">
        <v>691</v>
      </c>
      <c r="E182" s="114">
        <v>40</v>
      </c>
      <c r="F182"/>
      <c r="G182"/>
      <c r="H182"/>
    </row>
    <row r="183" spans="1:8" ht="12.75">
      <c r="A183" s="7" t="s">
        <v>514</v>
      </c>
      <c r="B183" s="7" t="s">
        <v>332</v>
      </c>
      <c r="C183" s="7" t="s">
        <v>702</v>
      </c>
      <c r="D183" s="7" t="s">
        <v>691</v>
      </c>
      <c r="E183" s="114">
        <v>214</v>
      </c>
      <c r="F183"/>
      <c r="G183"/>
      <c r="H183"/>
    </row>
    <row r="184" spans="1:8" ht="12.75">
      <c r="A184" s="7" t="s">
        <v>514</v>
      </c>
      <c r="B184" s="7" t="s">
        <v>332</v>
      </c>
      <c r="C184" s="7" t="s">
        <v>703</v>
      </c>
      <c r="D184" s="7" t="s">
        <v>691</v>
      </c>
      <c r="E184" s="114">
        <v>495</v>
      </c>
      <c r="F184"/>
      <c r="G184"/>
      <c r="H184"/>
    </row>
    <row r="185" spans="1:8" ht="12.75">
      <c r="A185" s="7" t="s">
        <v>514</v>
      </c>
      <c r="B185" s="7" t="s">
        <v>332</v>
      </c>
      <c r="C185" s="7" t="s">
        <v>704</v>
      </c>
      <c r="D185" s="7" t="s">
        <v>691</v>
      </c>
      <c r="E185" s="114">
        <v>50</v>
      </c>
      <c r="F185"/>
      <c r="G185"/>
      <c r="H185"/>
    </row>
    <row r="186" spans="1:8" ht="12.75">
      <c r="A186" s="7" t="s">
        <v>514</v>
      </c>
      <c r="B186" s="7" t="s">
        <v>332</v>
      </c>
      <c r="C186" s="7" t="s">
        <v>705</v>
      </c>
      <c r="D186" s="7" t="s">
        <v>691</v>
      </c>
      <c r="E186" s="114">
        <v>382</v>
      </c>
      <c r="F186"/>
      <c r="G186"/>
      <c r="H186"/>
    </row>
    <row r="187" spans="1:8" ht="12.75">
      <c r="A187" s="7" t="s">
        <v>514</v>
      </c>
      <c r="B187" s="7" t="s">
        <v>332</v>
      </c>
      <c r="C187" s="7" t="s">
        <v>706</v>
      </c>
      <c r="D187" s="7" t="s">
        <v>691</v>
      </c>
      <c r="E187" s="114">
        <v>259</v>
      </c>
      <c r="F187"/>
      <c r="G187"/>
      <c r="H187"/>
    </row>
    <row r="188" spans="1:8" ht="12.75">
      <c r="A188" s="7" t="s">
        <v>514</v>
      </c>
      <c r="B188" s="7" t="s">
        <v>332</v>
      </c>
      <c r="C188" s="7" t="s">
        <v>707</v>
      </c>
      <c r="D188" s="7" t="s">
        <v>691</v>
      </c>
      <c r="E188" s="114">
        <v>69</v>
      </c>
      <c r="F188"/>
      <c r="G188"/>
      <c r="H188"/>
    </row>
    <row r="189" spans="1:8" ht="12.75">
      <c r="A189" s="7" t="s">
        <v>514</v>
      </c>
      <c r="B189" s="7" t="s">
        <v>332</v>
      </c>
      <c r="C189" s="7" t="s">
        <v>708</v>
      </c>
      <c r="D189" s="7" t="s">
        <v>691</v>
      </c>
      <c r="E189" s="114">
        <v>35</v>
      </c>
      <c r="F189"/>
      <c r="G189"/>
      <c r="H189"/>
    </row>
    <row r="190" spans="1:8" ht="12.75">
      <c r="A190" s="7" t="s">
        <v>514</v>
      </c>
      <c r="B190" s="7" t="s">
        <v>332</v>
      </c>
      <c r="C190" s="7" t="s">
        <v>2</v>
      </c>
      <c r="D190" s="7" t="s">
        <v>0</v>
      </c>
      <c r="E190" s="114">
        <v>55.08</v>
      </c>
      <c r="F190"/>
      <c r="G190"/>
      <c r="H190"/>
    </row>
    <row r="191" spans="1:8" ht="12.75">
      <c r="A191" s="7" t="s">
        <v>514</v>
      </c>
      <c r="B191" s="7" t="s">
        <v>332</v>
      </c>
      <c r="C191" s="7" t="s">
        <v>3</v>
      </c>
      <c r="D191" s="7" t="s">
        <v>0</v>
      </c>
      <c r="E191" s="114">
        <v>35</v>
      </c>
      <c r="F191"/>
      <c r="G191"/>
      <c r="H191"/>
    </row>
    <row r="192" spans="1:8" ht="12.75">
      <c r="A192" s="7" t="s">
        <v>514</v>
      </c>
      <c r="B192" s="7" t="s">
        <v>332</v>
      </c>
      <c r="C192" s="7" t="s">
        <v>4</v>
      </c>
      <c r="D192" s="7" t="s">
        <v>0</v>
      </c>
      <c r="E192" s="114">
        <v>92</v>
      </c>
      <c r="F192"/>
      <c r="G192"/>
      <c r="H192"/>
    </row>
    <row r="193" spans="1:8" ht="12.75">
      <c r="A193" s="7" t="s">
        <v>514</v>
      </c>
      <c r="B193" s="7" t="s">
        <v>332</v>
      </c>
      <c r="C193" s="7" t="s">
        <v>5</v>
      </c>
      <c r="D193" s="7" t="s">
        <v>0</v>
      </c>
      <c r="E193" s="114">
        <v>124</v>
      </c>
      <c r="F193"/>
      <c r="G193"/>
      <c r="H193"/>
    </row>
    <row r="194" spans="1:8" ht="12.75">
      <c r="A194" s="7" t="s">
        <v>514</v>
      </c>
      <c r="B194" s="7" t="s">
        <v>332</v>
      </c>
      <c r="C194" s="7" t="s">
        <v>6</v>
      </c>
      <c r="D194" s="7" t="s">
        <v>0</v>
      </c>
      <c r="E194" s="114">
        <v>1106</v>
      </c>
      <c r="F194"/>
      <c r="G194"/>
      <c r="H194"/>
    </row>
    <row r="195" spans="1:8" ht="12.75">
      <c r="A195" s="7" t="s">
        <v>514</v>
      </c>
      <c r="B195" s="7" t="s">
        <v>332</v>
      </c>
      <c r="C195" s="7" t="s">
        <v>7</v>
      </c>
      <c r="D195" s="7" t="s">
        <v>0</v>
      </c>
      <c r="E195" s="114">
        <v>114</v>
      </c>
      <c r="F195"/>
      <c r="G195"/>
      <c r="H195"/>
    </row>
    <row r="196" spans="1:8" ht="12.75">
      <c r="A196" s="7" t="s">
        <v>514</v>
      </c>
      <c r="B196" s="7" t="s">
        <v>332</v>
      </c>
      <c r="C196" s="7" t="s">
        <v>8</v>
      </c>
      <c r="D196" s="7" t="s">
        <v>0</v>
      </c>
      <c r="E196" s="114">
        <v>630</v>
      </c>
      <c r="F196"/>
      <c r="G196"/>
      <c r="H196"/>
    </row>
    <row r="197" spans="1:8" ht="12.75">
      <c r="A197" s="7" t="s">
        <v>514</v>
      </c>
      <c r="B197" s="7" t="s">
        <v>332</v>
      </c>
      <c r="C197" s="7" t="s">
        <v>9</v>
      </c>
      <c r="D197" s="7" t="s">
        <v>0</v>
      </c>
      <c r="E197" s="114">
        <v>92</v>
      </c>
      <c r="F197"/>
      <c r="G197"/>
      <c r="H197"/>
    </row>
    <row r="198" spans="1:8" ht="12.75">
      <c r="A198" s="7" t="s">
        <v>514</v>
      </c>
      <c r="B198" s="7" t="s">
        <v>332</v>
      </c>
      <c r="C198" s="7" t="s">
        <v>10</v>
      </c>
      <c r="D198" s="7" t="s">
        <v>0</v>
      </c>
      <c r="E198" s="114">
        <v>598</v>
      </c>
      <c r="F198"/>
      <c r="G198"/>
      <c r="H198"/>
    </row>
    <row r="199" spans="1:8" ht="12.75">
      <c r="A199" s="7" t="s">
        <v>514</v>
      </c>
      <c r="B199" s="7" t="s">
        <v>332</v>
      </c>
      <c r="C199" s="7" t="s">
        <v>11</v>
      </c>
      <c r="D199" s="7" t="s">
        <v>0</v>
      </c>
      <c r="E199" s="114">
        <v>227</v>
      </c>
      <c r="F199"/>
      <c r="G199"/>
      <c r="H199"/>
    </row>
    <row r="200" spans="1:8" ht="12.75">
      <c r="A200" s="7" t="s">
        <v>514</v>
      </c>
      <c r="B200" s="7" t="s">
        <v>332</v>
      </c>
      <c r="C200" s="7" t="s">
        <v>12</v>
      </c>
      <c r="D200" s="7" t="s">
        <v>0</v>
      </c>
      <c r="E200" s="114">
        <v>40</v>
      </c>
      <c r="F200"/>
      <c r="G200"/>
      <c r="H200"/>
    </row>
    <row r="201" spans="1:8" ht="12.75">
      <c r="A201" s="7" t="s">
        <v>514</v>
      </c>
      <c r="B201" s="7" t="s">
        <v>332</v>
      </c>
      <c r="C201" s="7" t="s">
        <v>13</v>
      </c>
      <c r="D201" s="7" t="s">
        <v>0</v>
      </c>
      <c r="E201" s="114">
        <v>214</v>
      </c>
      <c r="F201"/>
      <c r="G201"/>
      <c r="H201"/>
    </row>
    <row r="202" spans="1:8" ht="12.75">
      <c r="A202" s="7" t="s">
        <v>514</v>
      </c>
      <c r="B202" s="7" t="s">
        <v>332</v>
      </c>
      <c r="C202" s="7" t="s">
        <v>14</v>
      </c>
      <c r="D202" s="7" t="s">
        <v>0</v>
      </c>
      <c r="E202" s="114">
        <v>495</v>
      </c>
      <c r="F202"/>
      <c r="G202"/>
      <c r="H202"/>
    </row>
    <row r="203" spans="1:8" ht="12.75">
      <c r="A203" s="7" t="s">
        <v>514</v>
      </c>
      <c r="B203" s="7" t="s">
        <v>332</v>
      </c>
      <c r="C203" s="7" t="s">
        <v>15</v>
      </c>
      <c r="D203" s="7" t="s">
        <v>0</v>
      </c>
      <c r="E203" s="114">
        <v>50</v>
      </c>
      <c r="F203"/>
      <c r="G203"/>
      <c r="H203"/>
    </row>
    <row r="204" spans="1:8" ht="12.75">
      <c r="A204" s="7" t="s">
        <v>514</v>
      </c>
      <c r="B204" s="7" t="s">
        <v>332</v>
      </c>
      <c r="C204" s="7" t="s">
        <v>16</v>
      </c>
      <c r="D204" s="7" t="s">
        <v>0</v>
      </c>
      <c r="E204" s="114">
        <v>382</v>
      </c>
      <c r="F204"/>
      <c r="G204"/>
      <c r="H204"/>
    </row>
    <row r="205" spans="1:8" ht="12.75">
      <c r="A205" s="7" t="s">
        <v>514</v>
      </c>
      <c r="B205" s="7" t="s">
        <v>332</v>
      </c>
      <c r="C205" s="7" t="s">
        <v>17</v>
      </c>
      <c r="D205" s="7" t="s">
        <v>0</v>
      </c>
      <c r="E205" s="114">
        <v>259</v>
      </c>
      <c r="F205"/>
      <c r="G205"/>
      <c r="H205"/>
    </row>
    <row r="206" spans="1:8" ht="12.75">
      <c r="A206" s="7" t="s">
        <v>514</v>
      </c>
      <c r="B206" s="7" t="s">
        <v>332</v>
      </c>
      <c r="C206" s="7" t="s">
        <v>18</v>
      </c>
      <c r="D206" s="7" t="s">
        <v>0</v>
      </c>
      <c r="E206" s="114">
        <v>69</v>
      </c>
      <c r="F206"/>
      <c r="G206"/>
      <c r="H206"/>
    </row>
    <row r="207" spans="1:8" ht="12.75">
      <c r="A207" s="7" t="s">
        <v>514</v>
      </c>
      <c r="B207" s="7" t="s">
        <v>332</v>
      </c>
      <c r="C207" s="7" t="s">
        <v>1</v>
      </c>
      <c r="D207" s="7" t="s">
        <v>0</v>
      </c>
      <c r="E207" s="114">
        <v>35</v>
      </c>
      <c r="F207"/>
      <c r="G207"/>
      <c r="H207"/>
    </row>
    <row r="208" spans="1:8" ht="38.25">
      <c r="A208" s="7" t="s">
        <v>514</v>
      </c>
      <c r="B208" s="7" t="s">
        <v>332</v>
      </c>
      <c r="C208" s="7" t="s">
        <v>19</v>
      </c>
      <c r="D208" s="7" t="s">
        <v>20</v>
      </c>
      <c r="E208" s="114">
        <v>86</v>
      </c>
      <c r="F208"/>
      <c r="G208"/>
      <c r="H208"/>
    </row>
    <row r="209" spans="1:8" ht="12.75">
      <c r="A209" s="7" t="s">
        <v>514</v>
      </c>
      <c r="B209" s="7" t="s">
        <v>332</v>
      </c>
      <c r="C209" s="7" t="s">
        <v>22</v>
      </c>
      <c r="D209" s="7" t="s">
        <v>21</v>
      </c>
      <c r="E209" s="114">
        <v>35</v>
      </c>
      <c r="F209"/>
      <c r="G209"/>
      <c r="H209"/>
    </row>
    <row r="210" spans="1:8" ht="12.75">
      <c r="A210" s="7" t="s">
        <v>514</v>
      </c>
      <c r="B210" s="7" t="s">
        <v>332</v>
      </c>
      <c r="C210" s="7" t="s">
        <v>23</v>
      </c>
      <c r="D210" s="7" t="s">
        <v>21</v>
      </c>
      <c r="E210" s="114">
        <v>92</v>
      </c>
      <c r="F210"/>
      <c r="G210"/>
      <c r="H210"/>
    </row>
    <row r="211" spans="1:8" ht="12.75">
      <c r="A211" s="7" t="s">
        <v>514</v>
      </c>
      <c r="B211" s="7" t="s">
        <v>332</v>
      </c>
      <c r="C211" s="7" t="s">
        <v>24</v>
      </c>
      <c r="D211" s="7" t="s">
        <v>21</v>
      </c>
      <c r="E211" s="114">
        <v>124</v>
      </c>
      <c r="F211"/>
      <c r="G211"/>
      <c r="H211"/>
    </row>
    <row r="212" spans="1:8" ht="12.75">
      <c r="A212" s="7" t="s">
        <v>514</v>
      </c>
      <c r="B212" s="7" t="s">
        <v>332</v>
      </c>
      <c r="C212" s="7" t="s">
        <v>25</v>
      </c>
      <c r="D212" s="7" t="s">
        <v>21</v>
      </c>
      <c r="E212" s="114">
        <v>1106</v>
      </c>
      <c r="F212"/>
      <c r="G212"/>
      <c r="H212"/>
    </row>
    <row r="213" spans="1:8" ht="12.75">
      <c r="A213" s="7" t="s">
        <v>514</v>
      </c>
      <c r="B213" s="7" t="s">
        <v>332</v>
      </c>
      <c r="C213" s="7" t="s">
        <v>26</v>
      </c>
      <c r="D213" s="7" t="s">
        <v>21</v>
      </c>
      <c r="E213" s="114">
        <v>114</v>
      </c>
      <c r="F213"/>
      <c r="G213"/>
      <c r="H213"/>
    </row>
    <row r="214" spans="1:8" ht="12.75">
      <c r="A214" s="7" t="s">
        <v>514</v>
      </c>
      <c r="B214" s="7" t="s">
        <v>332</v>
      </c>
      <c r="C214" s="7" t="s">
        <v>27</v>
      </c>
      <c r="D214" s="7" t="s">
        <v>21</v>
      </c>
      <c r="E214" s="114">
        <v>630</v>
      </c>
      <c r="F214"/>
      <c r="G214"/>
      <c r="H214"/>
    </row>
    <row r="215" spans="1:8" ht="12.75">
      <c r="A215" s="7" t="s">
        <v>514</v>
      </c>
      <c r="B215" s="7" t="s">
        <v>332</v>
      </c>
      <c r="C215" s="7" t="s">
        <v>28</v>
      </c>
      <c r="D215" s="7" t="s">
        <v>21</v>
      </c>
      <c r="E215" s="114">
        <v>92</v>
      </c>
      <c r="F215"/>
      <c r="G215"/>
      <c r="H215"/>
    </row>
    <row r="216" spans="1:8" ht="12.75">
      <c r="A216" s="7" t="s">
        <v>514</v>
      </c>
      <c r="B216" s="7" t="s">
        <v>332</v>
      </c>
      <c r="C216" s="7" t="s">
        <v>29</v>
      </c>
      <c r="D216" s="7" t="s">
        <v>21</v>
      </c>
      <c r="E216" s="114">
        <v>598</v>
      </c>
      <c r="F216"/>
      <c r="G216"/>
      <c r="H216"/>
    </row>
    <row r="217" spans="1:8" ht="12.75">
      <c r="A217" s="7" t="s">
        <v>514</v>
      </c>
      <c r="B217" s="7" t="s">
        <v>332</v>
      </c>
      <c r="C217" s="7" t="s">
        <v>30</v>
      </c>
      <c r="D217" s="7" t="s">
        <v>21</v>
      </c>
      <c r="E217" s="114">
        <v>227</v>
      </c>
      <c r="F217"/>
      <c r="G217"/>
      <c r="H217"/>
    </row>
    <row r="218" spans="1:8" ht="12.75">
      <c r="A218" s="7" t="s">
        <v>514</v>
      </c>
      <c r="B218" s="7" t="s">
        <v>332</v>
      </c>
      <c r="C218" s="7" t="s">
        <v>31</v>
      </c>
      <c r="D218" s="7" t="s">
        <v>21</v>
      </c>
      <c r="E218" s="114">
        <v>40</v>
      </c>
      <c r="F218"/>
      <c r="G218"/>
      <c r="H218"/>
    </row>
    <row r="219" spans="1:8" ht="12.75">
      <c r="A219" s="7" t="s">
        <v>514</v>
      </c>
      <c r="B219" s="7" t="s">
        <v>332</v>
      </c>
      <c r="C219" s="7" t="s">
        <v>32</v>
      </c>
      <c r="D219" s="7" t="s">
        <v>21</v>
      </c>
      <c r="E219" s="114">
        <v>214</v>
      </c>
      <c r="F219"/>
      <c r="G219"/>
      <c r="H219"/>
    </row>
    <row r="220" spans="1:8" ht="12.75">
      <c r="A220" s="7" t="s">
        <v>514</v>
      </c>
      <c r="B220" s="7" t="s">
        <v>332</v>
      </c>
      <c r="C220" s="7" t="s">
        <v>33</v>
      </c>
      <c r="D220" s="7" t="s">
        <v>21</v>
      </c>
      <c r="E220" s="114">
        <v>495</v>
      </c>
      <c r="F220"/>
      <c r="G220"/>
      <c r="H220"/>
    </row>
    <row r="221" spans="1:8" ht="12.75">
      <c r="A221" s="7" t="s">
        <v>514</v>
      </c>
      <c r="B221" s="7" t="s">
        <v>332</v>
      </c>
      <c r="C221" s="7" t="s">
        <v>34</v>
      </c>
      <c r="D221" s="7" t="s">
        <v>21</v>
      </c>
      <c r="E221" s="114">
        <v>50</v>
      </c>
      <c r="F221"/>
      <c r="G221"/>
      <c r="H221"/>
    </row>
    <row r="222" spans="1:8" ht="12.75">
      <c r="A222" s="7" t="s">
        <v>514</v>
      </c>
      <c r="B222" s="7" t="s">
        <v>332</v>
      </c>
      <c r="C222" s="7" t="s">
        <v>35</v>
      </c>
      <c r="D222" s="7" t="s">
        <v>21</v>
      </c>
      <c r="E222" s="114">
        <v>382</v>
      </c>
      <c r="F222"/>
      <c r="G222"/>
      <c r="H222"/>
    </row>
    <row r="223" spans="1:8" ht="12.75">
      <c r="A223" s="7" t="s">
        <v>514</v>
      </c>
      <c r="B223" s="7" t="s">
        <v>332</v>
      </c>
      <c r="C223" s="7" t="s">
        <v>36</v>
      </c>
      <c r="D223" s="7" t="s">
        <v>21</v>
      </c>
      <c r="E223" s="114">
        <v>259</v>
      </c>
      <c r="F223"/>
      <c r="G223"/>
      <c r="H223"/>
    </row>
    <row r="224" spans="1:8" ht="12.75">
      <c r="A224" s="7" t="s">
        <v>514</v>
      </c>
      <c r="B224" s="7" t="s">
        <v>332</v>
      </c>
      <c r="C224" s="7" t="s">
        <v>37</v>
      </c>
      <c r="D224" s="7" t="s">
        <v>21</v>
      </c>
      <c r="E224" s="114">
        <v>69</v>
      </c>
      <c r="F224"/>
      <c r="G224"/>
      <c r="H224"/>
    </row>
    <row r="225" spans="1:8" ht="12.75">
      <c r="A225" s="7" t="s">
        <v>514</v>
      </c>
      <c r="B225" s="7" t="s">
        <v>332</v>
      </c>
      <c r="C225" s="7" t="s">
        <v>38</v>
      </c>
      <c r="D225" s="7" t="s">
        <v>21</v>
      </c>
      <c r="E225" s="114">
        <v>35</v>
      </c>
      <c r="F225"/>
      <c r="G225"/>
      <c r="H225"/>
    </row>
    <row r="226" spans="1:8" ht="12.75">
      <c r="A226" s="7" t="s">
        <v>514</v>
      </c>
      <c r="B226" s="7" t="s">
        <v>332</v>
      </c>
      <c r="C226" s="7" t="s">
        <v>41</v>
      </c>
      <c r="D226" s="7" t="s">
        <v>40</v>
      </c>
      <c r="E226" s="114">
        <v>86</v>
      </c>
      <c r="F226"/>
      <c r="G226"/>
      <c r="H226"/>
    </row>
    <row r="227" spans="1:8" ht="12.75">
      <c r="A227" s="7" t="s">
        <v>514</v>
      </c>
      <c r="B227" s="7" t="s">
        <v>332</v>
      </c>
      <c r="C227" s="7" t="s">
        <v>42</v>
      </c>
      <c r="D227" s="7" t="s">
        <v>40</v>
      </c>
      <c r="E227" s="114">
        <v>35</v>
      </c>
      <c r="F227"/>
      <c r="G227"/>
      <c r="H227"/>
    </row>
    <row r="228" spans="1:8" ht="12.75">
      <c r="A228" s="7" t="s">
        <v>514</v>
      </c>
      <c r="B228" s="7" t="s">
        <v>332</v>
      </c>
      <c r="C228" s="7" t="s">
        <v>43</v>
      </c>
      <c r="D228" s="7" t="s">
        <v>40</v>
      </c>
      <c r="E228" s="114">
        <v>92</v>
      </c>
      <c r="F228"/>
      <c r="G228"/>
      <c r="H228"/>
    </row>
    <row r="229" spans="1:8" ht="12.75">
      <c r="A229" s="7" t="s">
        <v>514</v>
      </c>
      <c r="B229" s="7" t="s">
        <v>332</v>
      </c>
      <c r="C229" s="7" t="s">
        <v>44</v>
      </c>
      <c r="D229" s="7" t="s">
        <v>40</v>
      </c>
      <c r="E229" s="114">
        <v>124</v>
      </c>
      <c r="F229"/>
      <c r="G229"/>
      <c r="H229"/>
    </row>
    <row r="230" spans="1:8" ht="12.75">
      <c r="A230" s="7" t="s">
        <v>514</v>
      </c>
      <c r="B230" s="7" t="s">
        <v>332</v>
      </c>
      <c r="C230" s="7" t="s">
        <v>45</v>
      </c>
      <c r="D230" s="7" t="s">
        <v>40</v>
      </c>
      <c r="E230" s="114">
        <v>1106</v>
      </c>
      <c r="F230"/>
      <c r="G230"/>
      <c r="H230"/>
    </row>
    <row r="231" spans="1:8" ht="12.75">
      <c r="A231" s="7" t="s">
        <v>514</v>
      </c>
      <c r="B231" s="7" t="s">
        <v>332</v>
      </c>
      <c r="C231" s="7" t="s">
        <v>46</v>
      </c>
      <c r="D231" s="7" t="s">
        <v>40</v>
      </c>
      <c r="E231" s="114">
        <v>114</v>
      </c>
      <c r="F231"/>
      <c r="G231"/>
      <c r="H231"/>
    </row>
    <row r="232" spans="1:8" ht="12.75">
      <c r="A232" s="7" t="s">
        <v>514</v>
      </c>
      <c r="B232" s="7" t="s">
        <v>332</v>
      </c>
      <c r="C232" s="7" t="s">
        <v>47</v>
      </c>
      <c r="D232" s="7" t="s">
        <v>40</v>
      </c>
      <c r="E232" s="114">
        <v>630</v>
      </c>
      <c r="F232"/>
      <c r="G232"/>
      <c r="H232"/>
    </row>
    <row r="233" spans="1:8" ht="12.75">
      <c r="A233" s="7" t="s">
        <v>514</v>
      </c>
      <c r="B233" s="7" t="s">
        <v>332</v>
      </c>
      <c r="C233" s="7" t="s">
        <v>48</v>
      </c>
      <c r="D233" s="7" t="s">
        <v>40</v>
      </c>
      <c r="E233" s="114">
        <v>92</v>
      </c>
      <c r="F233"/>
      <c r="G233"/>
      <c r="H233"/>
    </row>
    <row r="234" spans="1:8" ht="12.75">
      <c r="A234" s="7" t="s">
        <v>514</v>
      </c>
      <c r="B234" s="7" t="s">
        <v>332</v>
      </c>
      <c r="C234" s="7" t="s">
        <v>49</v>
      </c>
      <c r="D234" s="7" t="s">
        <v>40</v>
      </c>
      <c r="E234" s="114">
        <v>598</v>
      </c>
      <c r="F234"/>
      <c r="G234"/>
      <c r="H234"/>
    </row>
    <row r="235" spans="1:8" ht="12.75">
      <c r="A235" s="7" t="s">
        <v>514</v>
      </c>
      <c r="B235" s="7" t="s">
        <v>332</v>
      </c>
      <c r="C235" s="7" t="s">
        <v>50</v>
      </c>
      <c r="D235" s="7" t="s">
        <v>40</v>
      </c>
      <c r="E235" s="114">
        <v>227</v>
      </c>
      <c r="F235"/>
      <c r="G235"/>
      <c r="H235"/>
    </row>
    <row r="236" spans="1:8" ht="12.75">
      <c r="A236" s="7" t="s">
        <v>514</v>
      </c>
      <c r="B236" s="7" t="s">
        <v>332</v>
      </c>
      <c r="C236" s="7" t="s">
        <v>51</v>
      </c>
      <c r="D236" s="7" t="s">
        <v>40</v>
      </c>
      <c r="E236" s="114">
        <v>40</v>
      </c>
      <c r="F236"/>
      <c r="G236"/>
      <c r="H236"/>
    </row>
    <row r="237" spans="1:8" ht="12.75">
      <c r="A237" s="7" t="s">
        <v>514</v>
      </c>
      <c r="B237" s="7" t="s">
        <v>332</v>
      </c>
      <c r="C237" s="7" t="s">
        <v>52</v>
      </c>
      <c r="D237" s="7" t="s">
        <v>40</v>
      </c>
      <c r="E237" s="114">
        <v>214</v>
      </c>
      <c r="F237"/>
      <c r="G237"/>
      <c r="H237"/>
    </row>
    <row r="238" spans="1:8" ht="12.75">
      <c r="A238" s="7" t="s">
        <v>514</v>
      </c>
      <c r="B238" s="7" t="s">
        <v>332</v>
      </c>
      <c r="C238" s="7" t="s">
        <v>53</v>
      </c>
      <c r="D238" s="7" t="s">
        <v>40</v>
      </c>
      <c r="E238" s="114">
        <v>495</v>
      </c>
      <c r="F238"/>
      <c r="G238"/>
      <c r="H238"/>
    </row>
    <row r="239" spans="1:8" ht="12.75">
      <c r="A239" s="7" t="s">
        <v>514</v>
      </c>
      <c r="B239" s="7" t="s">
        <v>332</v>
      </c>
      <c r="C239" s="7" t="s">
        <v>54</v>
      </c>
      <c r="D239" s="7" t="s">
        <v>40</v>
      </c>
      <c r="E239" s="114">
        <v>50</v>
      </c>
      <c r="F239"/>
      <c r="G239"/>
      <c r="H239"/>
    </row>
    <row r="240" spans="1:8" ht="12.75">
      <c r="A240" s="7" t="s">
        <v>514</v>
      </c>
      <c r="B240" s="7" t="s">
        <v>332</v>
      </c>
      <c r="C240" s="7" t="s">
        <v>55</v>
      </c>
      <c r="D240" s="7" t="s">
        <v>40</v>
      </c>
      <c r="E240" s="114">
        <v>382</v>
      </c>
      <c r="F240"/>
      <c r="G240"/>
      <c r="H240"/>
    </row>
    <row r="241" spans="1:8" ht="12.75">
      <c r="A241" s="7" t="s">
        <v>514</v>
      </c>
      <c r="B241" s="7" t="s">
        <v>332</v>
      </c>
      <c r="C241" s="7" t="s">
        <v>56</v>
      </c>
      <c r="D241" s="7" t="s">
        <v>40</v>
      </c>
      <c r="E241" s="114">
        <v>259</v>
      </c>
      <c r="F241"/>
      <c r="G241"/>
      <c r="H241"/>
    </row>
    <row r="242" spans="1:8" ht="12.75">
      <c r="A242" s="7" t="s">
        <v>514</v>
      </c>
      <c r="B242" s="7" t="s">
        <v>332</v>
      </c>
      <c r="C242" s="7" t="s">
        <v>57</v>
      </c>
      <c r="D242" s="7" t="s">
        <v>40</v>
      </c>
      <c r="E242" s="114">
        <v>69</v>
      </c>
      <c r="F242"/>
      <c r="G242"/>
      <c r="H242"/>
    </row>
    <row r="243" spans="1:8" ht="12.75">
      <c r="A243" s="7" t="s">
        <v>514</v>
      </c>
      <c r="B243" s="7" t="s">
        <v>332</v>
      </c>
      <c r="C243" s="7" t="s">
        <v>39</v>
      </c>
      <c r="D243" s="7" t="s">
        <v>40</v>
      </c>
      <c r="E243" s="114">
        <v>35</v>
      </c>
      <c r="F243"/>
      <c r="G243"/>
      <c r="H243"/>
    </row>
    <row r="244" spans="1:8" ht="12.75">
      <c r="A244" s="7" t="s">
        <v>514</v>
      </c>
      <c r="B244" s="7" t="s">
        <v>332</v>
      </c>
      <c r="C244" s="7" t="s">
        <v>58</v>
      </c>
      <c r="D244" s="7" t="s">
        <v>59</v>
      </c>
      <c r="E244" s="114">
        <v>66.45</v>
      </c>
      <c r="F244"/>
      <c r="G244"/>
      <c r="H244"/>
    </row>
    <row r="245" spans="1:8" ht="12.75">
      <c r="A245" s="7" t="s">
        <v>514</v>
      </c>
      <c r="B245" s="7" t="s">
        <v>332</v>
      </c>
      <c r="C245" s="7" t="s">
        <v>60</v>
      </c>
      <c r="D245" s="7" t="s">
        <v>59</v>
      </c>
      <c r="E245" s="114">
        <v>35</v>
      </c>
      <c r="F245"/>
      <c r="G245"/>
      <c r="H245"/>
    </row>
    <row r="246" spans="1:8" ht="12.75">
      <c r="A246" s="7" t="s">
        <v>514</v>
      </c>
      <c r="B246" s="7" t="s">
        <v>332</v>
      </c>
      <c r="C246" s="7" t="s">
        <v>61</v>
      </c>
      <c r="D246" s="7" t="s">
        <v>59</v>
      </c>
      <c r="E246" s="114">
        <v>92</v>
      </c>
      <c r="F246"/>
      <c r="G246"/>
      <c r="H246"/>
    </row>
    <row r="247" spans="1:8" ht="12.75">
      <c r="A247" s="7" t="s">
        <v>514</v>
      </c>
      <c r="B247" s="7" t="s">
        <v>332</v>
      </c>
      <c r="C247" s="7" t="s">
        <v>62</v>
      </c>
      <c r="D247" s="7" t="s">
        <v>59</v>
      </c>
      <c r="E247" s="114">
        <v>124</v>
      </c>
      <c r="F247"/>
      <c r="G247"/>
      <c r="H247"/>
    </row>
    <row r="248" spans="1:8" ht="12.75">
      <c r="A248" s="7" t="s">
        <v>514</v>
      </c>
      <c r="B248" s="7" t="s">
        <v>332</v>
      </c>
      <c r="C248" s="7" t="s">
        <v>63</v>
      </c>
      <c r="D248" s="7" t="s">
        <v>59</v>
      </c>
      <c r="E248" s="114">
        <v>1106</v>
      </c>
      <c r="F248"/>
      <c r="G248"/>
      <c r="H248"/>
    </row>
    <row r="249" spans="1:8" ht="12.75">
      <c r="A249" s="7" t="s">
        <v>514</v>
      </c>
      <c r="B249" s="7" t="s">
        <v>332</v>
      </c>
      <c r="C249" s="7" t="s">
        <v>64</v>
      </c>
      <c r="D249" s="7" t="s">
        <v>59</v>
      </c>
      <c r="E249" s="114">
        <v>114</v>
      </c>
      <c r="F249"/>
      <c r="G249"/>
      <c r="H249"/>
    </row>
    <row r="250" spans="1:8" ht="12.75">
      <c r="A250" s="7" t="s">
        <v>514</v>
      </c>
      <c r="B250" s="7" t="s">
        <v>332</v>
      </c>
      <c r="C250" s="7" t="s">
        <v>65</v>
      </c>
      <c r="D250" s="7" t="s">
        <v>59</v>
      </c>
      <c r="E250" s="114">
        <v>630</v>
      </c>
      <c r="F250"/>
      <c r="G250"/>
      <c r="H250"/>
    </row>
    <row r="251" spans="1:8" ht="12.75">
      <c r="A251" s="7" t="s">
        <v>514</v>
      </c>
      <c r="B251" s="7" t="s">
        <v>332</v>
      </c>
      <c r="C251" s="7" t="s">
        <v>66</v>
      </c>
      <c r="D251" s="7" t="s">
        <v>59</v>
      </c>
      <c r="E251" s="114">
        <v>92</v>
      </c>
      <c r="F251"/>
      <c r="G251"/>
      <c r="H251"/>
    </row>
    <row r="252" spans="1:8" ht="12.75">
      <c r="A252" s="7" t="s">
        <v>514</v>
      </c>
      <c r="B252" s="7" t="s">
        <v>332</v>
      </c>
      <c r="C252" s="7" t="s">
        <v>67</v>
      </c>
      <c r="D252" s="7" t="s">
        <v>59</v>
      </c>
      <c r="E252" s="114">
        <v>598</v>
      </c>
      <c r="F252"/>
      <c r="G252"/>
      <c r="H252"/>
    </row>
    <row r="253" spans="1:8" ht="12.75">
      <c r="A253" s="7" t="s">
        <v>514</v>
      </c>
      <c r="B253" s="7" t="s">
        <v>332</v>
      </c>
      <c r="C253" s="7" t="s">
        <v>68</v>
      </c>
      <c r="D253" s="7" t="s">
        <v>59</v>
      </c>
      <c r="E253" s="114">
        <v>227</v>
      </c>
      <c r="F253"/>
      <c r="G253"/>
      <c r="H253"/>
    </row>
    <row r="254" spans="1:8" ht="12.75">
      <c r="A254" s="7" t="s">
        <v>514</v>
      </c>
      <c r="B254" s="7" t="s">
        <v>332</v>
      </c>
      <c r="C254" s="7" t="s">
        <v>69</v>
      </c>
      <c r="D254" s="7" t="s">
        <v>59</v>
      </c>
      <c r="E254" s="114">
        <v>40</v>
      </c>
      <c r="F254"/>
      <c r="G254"/>
      <c r="H254"/>
    </row>
    <row r="255" spans="1:8" ht="12.75">
      <c r="A255" s="7" t="s">
        <v>514</v>
      </c>
      <c r="B255" s="7" t="s">
        <v>332</v>
      </c>
      <c r="C255" s="7" t="s">
        <v>70</v>
      </c>
      <c r="D255" s="7" t="s">
        <v>59</v>
      </c>
      <c r="E255" s="114">
        <v>214</v>
      </c>
      <c r="F255"/>
      <c r="G255"/>
      <c r="H255"/>
    </row>
    <row r="256" spans="1:8" ht="12.75">
      <c r="A256" s="7" t="s">
        <v>514</v>
      </c>
      <c r="B256" s="7" t="s">
        <v>332</v>
      </c>
      <c r="C256" s="7" t="s">
        <v>71</v>
      </c>
      <c r="D256" s="7" t="s">
        <v>59</v>
      </c>
      <c r="E256" s="114">
        <v>495</v>
      </c>
      <c r="F256"/>
      <c r="G256"/>
      <c r="H256"/>
    </row>
    <row r="257" spans="1:8" ht="12.75">
      <c r="A257" s="7" t="s">
        <v>514</v>
      </c>
      <c r="B257" s="7" t="s">
        <v>332</v>
      </c>
      <c r="C257" s="7" t="s">
        <v>72</v>
      </c>
      <c r="D257" s="7" t="s">
        <v>59</v>
      </c>
      <c r="E257" s="114">
        <v>50</v>
      </c>
      <c r="F257"/>
      <c r="G257"/>
      <c r="H257"/>
    </row>
    <row r="258" spans="1:8" ht="12.75">
      <c r="A258" s="7" t="s">
        <v>514</v>
      </c>
      <c r="B258" s="7" t="s">
        <v>332</v>
      </c>
      <c r="C258" s="7" t="s">
        <v>73</v>
      </c>
      <c r="D258" s="7" t="s">
        <v>59</v>
      </c>
      <c r="E258" s="114">
        <v>382</v>
      </c>
      <c r="F258"/>
      <c r="G258"/>
      <c r="H258"/>
    </row>
    <row r="259" spans="1:8" ht="12.75">
      <c r="A259" s="7" t="s">
        <v>514</v>
      </c>
      <c r="B259" s="7" t="s">
        <v>332</v>
      </c>
      <c r="C259" s="7" t="s">
        <v>74</v>
      </c>
      <c r="D259" s="7" t="s">
        <v>59</v>
      </c>
      <c r="E259" s="114">
        <v>259</v>
      </c>
      <c r="F259"/>
      <c r="G259"/>
      <c r="H259"/>
    </row>
    <row r="260" spans="1:8" ht="12.75">
      <c r="A260" s="7" t="s">
        <v>514</v>
      </c>
      <c r="B260" s="7" t="s">
        <v>332</v>
      </c>
      <c r="C260" s="7" t="s">
        <v>75</v>
      </c>
      <c r="D260" s="7" t="s">
        <v>59</v>
      </c>
      <c r="E260" s="114">
        <v>69</v>
      </c>
      <c r="F260"/>
      <c r="G260"/>
      <c r="H260"/>
    </row>
    <row r="261" spans="1:8" ht="12.75">
      <c r="A261" s="7" t="s">
        <v>514</v>
      </c>
      <c r="B261" s="7" t="s">
        <v>332</v>
      </c>
      <c r="C261" s="7" t="s">
        <v>76</v>
      </c>
      <c r="D261" s="7" t="s">
        <v>59</v>
      </c>
      <c r="E261" s="114">
        <v>35</v>
      </c>
      <c r="F261"/>
      <c r="G261"/>
      <c r="H261"/>
    </row>
    <row r="262" spans="1:8" ht="25.5">
      <c r="A262" s="7" t="s">
        <v>514</v>
      </c>
      <c r="B262" s="7" t="s">
        <v>77</v>
      </c>
      <c r="C262" s="7" t="s">
        <v>78</v>
      </c>
      <c r="E262" s="114">
        <v>125</v>
      </c>
      <c r="G262"/>
      <c r="H262"/>
    </row>
    <row r="263" spans="1:8" ht="12.75">
      <c r="A263" s="7" t="s">
        <v>514</v>
      </c>
      <c r="B263" s="7" t="s">
        <v>79</v>
      </c>
      <c r="C263" s="7" t="s">
        <v>81</v>
      </c>
      <c r="D263" s="7" t="s">
        <v>80</v>
      </c>
      <c r="E263" s="114">
        <v>150</v>
      </c>
      <c r="G263"/>
      <c r="H263"/>
    </row>
    <row r="264" spans="1:8" ht="12.75">
      <c r="A264" s="7" t="s">
        <v>514</v>
      </c>
      <c r="B264" s="7" t="s">
        <v>79</v>
      </c>
      <c r="C264" s="7" t="s">
        <v>82</v>
      </c>
      <c r="D264" s="7" t="s">
        <v>80</v>
      </c>
      <c r="E264" s="114">
        <v>60</v>
      </c>
      <c r="G264"/>
      <c r="H264"/>
    </row>
    <row r="265" spans="1:8" ht="12.75">
      <c r="A265" s="7" t="s">
        <v>514</v>
      </c>
      <c r="B265" s="7" t="s">
        <v>79</v>
      </c>
      <c r="C265" s="7" t="s">
        <v>82</v>
      </c>
      <c r="D265" s="7" t="s">
        <v>603</v>
      </c>
      <c r="E265" s="114">
        <v>35</v>
      </c>
      <c r="G265"/>
      <c r="H265"/>
    </row>
    <row r="266" spans="1:8" ht="25.5">
      <c r="A266" s="7" t="s">
        <v>514</v>
      </c>
      <c r="B266" s="7" t="s">
        <v>83</v>
      </c>
      <c r="C266" s="7" t="s">
        <v>84</v>
      </c>
      <c r="D266" s="7" t="s">
        <v>85</v>
      </c>
      <c r="E266" s="114">
        <v>62</v>
      </c>
      <c r="G266"/>
      <c r="H266"/>
    </row>
    <row r="267" spans="1:8" ht="25.5">
      <c r="A267" s="7" t="s">
        <v>514</v>
      </c>
      <c r="B267" s="7" t="s">
        <v>83</v>
      </c>
      <c r="C267" s="7" t="s">
        <v>87</v>
      </c>
      <c r="D267" s="7" t="s">
        <v>86</v>
      </c>
      <c r="E267" s="114">
        <v>83.25</v>
      </c>
      <c r="G267"/>
      <c r="H267"/>
    </row>
    <row r="268" spans="1:8" ht="25.5">
      <c r="A268" s="7" t="s">
        <v>514</v>
      </c>
      <c r="B268" s="7" t="s">
        <v>83</v>
      </c>
      <c r="C268" s="7" t="s">
        <v>88</v>
      </c>
      <c r="D268" s="7" t="s">
        <v>89</v>
      </c>
      <c r="E268" s="114">
        <v>111</v>
      </c>
      <c r="G268"/>
      <c r="H268"/>
    </row>
    <row r="269" spans="1:8" ht="25.5">
      <c r="A269" s="7" t="s">
        <v>514</v>
      </c>
      <c r="B269" s="7" t="s">
        <v>83</v>
      </c>
      <c r="C269" s="7" t="s">
        <v>91</v>
      </c>
      <c r="D269" s="7" t="s">
        <v>90</v>
      </c>
      <c r="E269" s="114">
        <v>138.75</v>
      </c>
      <c r="G269"/>
      <c r="H269"/>
    </row>
    <row r="270" spans="1:8" ht="25.5">
      <c r="A270" s="7" t="s">
        <v>514</v>
      </c>
      <c r="B270" s="7" t="s">
        <v>92</v>
      </c>
      <c r="C270" s="7" t="s">
        <v>93</v>
      </c>
      <c r="E270" s="114">
        <v>3700</v>
      </c>
      <c r="G270"/>
      <c r="H270"/>
    </row>
    <row r="271" spans="1:8" ht="25.5">
      <c r="A271" s="7" t="s">
        <v>514</v>
      </c>
      <c r="B271" s="7" t="s">
        <v>92</v>
      </c>
      <c r="C271" s="7" t="s">
        <v>94</v>
      </c>
      <c r="E271" s="114">
        <v>8000</v>
      </c>
      <c r="G271"/>
      <c r="H271"/>
    </row>
    <row r="272" spans="1:8" ht="25.5">
      <c r="A272" s="7" t="s">
        <v>514</v>
      </c>
      <c r="B272" s="7" t="s">
        <v>92</v>
      </c>
      <c r="C272" s="7" t="s">
        <v>95</v>
      </c>
      <c r="E272" s="114">
        <v>6500</v>
      </c>
      <c r="G272"/>
      <c r="H272"/>
    </row>
    <row r="273" spans="1:8" ht="25.5">
      <c r="A273" s="7" t="s">
        <v>514</v>
      </c>
      <c r="B273" s="7" t="s">
        <v>92</v>
      </c>
      <c r="C273" s="7" t="s">
        <v>96</v>
      </c>
      <c r="E273" s="114">
        <v>8000</v>
      </c>
      <c r="G273"/>
      <c r="H273"/>
    </row>
    <row r="274" spans="1:8" ht="25.5">
      <c r="A274" s="7" t="s">
        <v>514</v>
      </c>
      <c r="B274" s="7" t="s">
        <v>97</v>
      </c>
      <c r="C274" s="7" t="s">
        <v>98</v>
      </c>
      <c r="D274" s="7" t="s">
        <v>99</v>
      </c>
      <c r="E274" s="114">
        <v>37.5</v>
      </c>
      <c r="G274"/>
      <c r="H274"/>
    </row>
    <row r="275" spans="1:8" ht="25.5">
      <c r="A275" s="7" t="s">
        <v>514</v>
      </c>
      <c r="B275" s="7" t="s">
        <v>97</v>
      </c>
      <c r="C275" s="7" t="s">
        <v>98</v>
      </c>
      <c r="D275" s="7" t="s">
        <v>100</v>
      </c>
      <c r="E275" s="114">
        <v>40</v>
      </c>
      <c r="G275"/>
      <c r="H275"/>
    </row>
    <row r="276" spans="1:8" ht="25.5">
      <c r="A276" s="7" t="s">
        <v>514</v>
      </c>
      <c r="B276" s="7" t="s">
        <v>97</v>
      </c>
      <c r="C276" s="7" t="s">
        <v>98</v>
      </c>
      <c r="D276" s="7" t="s">
        <v>102</v>
      </c>
      <c r="E276" s="114">
        <v>40</v>
      </c>
      <c r="G276"/>
      <c r="H276"/>
    </row>
    <row r="277" spans="1:8" ht="25.5">
      <c r="A277" s="7" t="s">
        <v>514</v>
      </c>
      <c r="B277" s="7" t="s">
        <v>97</v>
      </c>
      <c r="C277" s="7" t="s">
        <v>98</v>
      </c>
      <c r="D277" s="7" t="s">
        <v>103</v>
      </c>
      <c r="E277" s="114">
        <v>42</v>
      </c>
      <c r="G277"/>
      <c r="H277"/>
    </row>
    <row r="278" spans="1:8" ht="25.5">
      <c r="A278" s="7" t="s">
        <v>514</v>
      </c>
      <c r="B278" s="7" t="s">
        <v>97</v>
      </c>
      <c r="C278" s="7" t="s">
        <v>101</v>
      </c>
      <c r="D278" s="7" t="s">
        <v>99</v>
      </c>
      <c r="E278" s="114">
        <v>37.5</v>
      </c>
      <c r="G278"/>
      <c r="H278"/>
    </row>
    <row r="279" spans="1:8" ht="25.5">
      <c r="A279" s="7" t="s">
        <v>514</v>
      </c>
      <c r="B279" s="7" t="s">
        <v>97</v>
      </c>
      <c r="C279" s="7" t="s">
        <v>101</v>
      </c>
      <c r="D279" s="7" t="s">
        <v>103</v>
      </c>
      <c r="E279" s="114">
        <v>42</v>
      </c>
      <c r="G279"/>
      <c r="H279"/>
    </row>
    <row r="280" spans="1:8" ht="25.5">
      <c r="A280" s="7" t="s">
        <v>514</v>
      </c>
      <c r="B280" s="7" t="s">
        <v>97</v>
      </c>
      <c r="C280" s="7" t="s">
        <v>101</v>
      </c>
      <c r="D280" s="7" t="s">
        <v>104</v>
      </c>
      <c r="E280" s="114">
        <v>50</v>
      </c>
      <c r="G280"/>
      <c r="H280"/>
    </row>
    <row r="281" spans="1:8" ht="12.75">
      <c r="A281" s="7" t="s">
        <v>514</v>
      </c>
      <c r="B281" s="7" t="s">
        <v>105</v>
      </c>
      <c r="C281" s="7" t="s">
        <v>106</v>
      </c>
      <c r="E281" s="114">
        <v>7.25</v>
      </c>
      <c r="G281"/>
      <c r="H281"/>
    </row>
    <row r="282" spans="1:8" ht="12.75">
      <c r="A282" s="7" t="s">
        <v>514</v>
      </c>
      <c r="B282" s="7" t="s">
        <v>107</v>
      </c>
      <c r="C282" s="7" t="s">
        <v>108</v>
      </c>
      <c r="E282" s="114">
        <v>1648</v>
      </c>
      <c r="G282"/>
      <c r="H282"/>
    </row>
    <row r="283" spans="1:8" ht="25.5">
      <c r="A283" s="7" t="s">
        <v>514</v>
      </c>
      <c r="B283" s="7" t="s">
        <v>109</v>
      </c>
      <c r="E283" s="114">
        <v>500</v>
      </c>
      <c r="G283"/>
      <c r="H283"/>
    </row>
    <row r="284" spans="1:8" ht="25.5">
      <c r="A284" s="7" t="s">
        <v>514</v>
      </c>
      <c r="B284" s="7" t="s">
        <v>110</v>
      </c>
      <c r="C284" s="7" t="s">
        <v>111</v>
      </c>
      <c r="D284" s="7" t="s">
        <v>112</v>
      </c>
      <c r="E284" s="114">
        <v>4394</v>
      </c>
      <c r="G284"/>
      <c r="H284"/>
    </row>
    <row r="285" spans="1:8" ht="25.5">
      <c r="A285" s="7" t="s">
        <v>514</v>
      </c>
      <c r="B285" s="7" t="s">
        <v>113</v>
      </c>
      <c r="C285" s="7" t="s">
        <v>114</v>
      </c>
      <c r="D285" s="7" t="s">
        <v>115</v>
      </c>
      <c r="E285" s="114">
        <v>1084</v>
      </c>
      <c r="G285"/>
      <c r="H285"/>
    </row>
    <row r="286" spans="1:8" ht="25.5">
      <c r="A286" s="7" t="s">
        <v>514</v>
      </c>
      <c r="B286" s="7" t="s">
        <v>113</v>
      </c>
      <c r="C286" s="7" t="s">
        <v>116</v>
      </c>
      <c r="D286" s="7" t="s">
        <v>117</v>
      </c>
      <c r="E286" s="114">
        <v>2140</v>
      </c>
      <c r="G286"/>
      <c r="H286"/>
    </row>
    <row r="287" spans="1:8" ht="25.5">
      <c r="A287" s="7" t="s">
        <v>514</v>
      </c>
      <c r="B287" s="7" t="s">
        <v>113</v>
      </c>
      <c r="C287" s="7" t="s">
        <v>119</v>
      </c>
      <c r="D287" s="7" t="s">
        <v>118</v>
      </c>
      <c r="E287" s="114">
        <v>80</v>
      </c>
      <c r="G287"/>
      <c r="H287"/>
    </row>
    <row r="288" spans="1:8" ht="25.5">
      <c r="A288" s="7" t="s">
        <v>514</v>
      </c>
      <c r="B288" s="7" t="s">
        <v>113</v>
      </c>
      <c r="C288" s="7" t="s">
        <v>119</v>
      </c>
      <c r="D288" s="7" t="s">
        <v>120</v>
      </c>
      <c r="E288" s="114">
        <v>80</v>
      </c>
      <c r="G288"/>
      <c r="H288"/>
    </row>
    <row r="289" spans="1:8" ht="25.5">
      <c r="A289" s="7" t="s">
        <v>514</v>
      </c>
      <c r="B289" s="7" t="s">
        <v>113</v>
      </c>
      <c r="C289" s="7" t="s">
        <v>119</v>
      </c>
      <c r="D289" s="7" t="s">
        <v>121</v>
      </c>
      <c r="E289" s="114">
        <v>80</v>
      </c>
      <c r="G289"/>
      <c r="H289"/>
    </row>
    <row r="290" spans="1:8" ht="25.5">
      <c r="A290" s="7" t="s">
        <v>514</v>
      </c>
      <c r="B290" s="7" t="s">
        <v>113</v>
      </c>
      <c r="C290" s="7" t="s">
        <v>119</v>
      </c>
      <c r="D290" s="7" t="s">
        <v>122</v>
      </c>
      <c r="E290" s="114">
        <v>80</v>
      </c>
      <c r="G290"/>
      <c r="H290"/>
    </row>
    <row r="291" spans="1:8" ht="25.5">
      <c r="A291" s="7" t="s">
        <v>514</v>
      </c>
      <c r="B291" s="7" t="s">
        <v>123</v>
      </c>
      <c r="E291" s="114">
        <v>168</v>
      </c>
      <c r="G291"/>
      <c r="H291"/>
    </row>
    <row r="292" spans="1:8" ht="25.5">
      <c r="A292" s="7" t="s">
        <v>514</v>
      </c>
      <c r="B292" s="7" t="s">
        <v>124</v>
      </c>
      <c r="C292" s="7" t="s">
        <v>125</v>
      </c>
      <c r="D292" s="7" t="s">
        <v>126</v>
      </c>
      <c r="E292" s="114">
        <v>26.67</v>
      </c>
      <c r="G292"/>
      <c r="H292"/>
    </row>
    <row r="293" spans="1:8" ht="25.5">
      <c r="A293" s="7" t="s">
        <v>514</v>
      </c>
      <c r="B293" s="7" t="s">
        <v>124</v>
      </c>
      <c r="C293" s="7" t="s">
        <v>127</v>
      </c>
      <c r="D293" s="7" t="s">
        <v>128</v>
      </c>
      <c r="E293" s="114">
        <v>45.33</v>
      </c>
      <c r="G293"/>
      <c r="H293"/>
    </row>
    <row r="294" spans="1:8" ht="25.5">
      <c r="A294" s="7" t="s">
        <v>514</v>
      </c>
      <c r="B294" s="7" t="s">
        <v>124</v>
      </c>
      <c r="C294" s="7" t="s">
        <v>130</v>
      </c>
      <c r="D294" s="7" t="s">
        <v>129</v>
      </c>
      <c r="E294" s="114">
        <v>20</v>
      </c>
      <c r="G294"/>
      <c r="H294"/>
    </row>
    <row r="295" spans="1:8" ht="25.5">
      <c r="A295" s="7" t="s">
        <v>514</v>
      </c>
      <c r="B295" s="7" t="s">
        <v>517</v>
      </c>
      <c r="C295" s="7" t="s">
        <v>528</v>
      </c>
      <c r="D295" s="7" t="s">
        <v>131</v>
      </c>
      <c r="E295" s="114">
        <v>146.5</v>
      </c>
      <c r="G295"/>
      <c r="H295"/>
    </row>
    <row r="296" spans="1:8" ht="25.5">
      <c r="A296" s="7" t="s">
        <v>514</v>
      </c>
      <c r="B296" s="7" t="s">
        <v>517</v>
      </c>
      <c r="C296" s="7" t="s">
        <v>525</v>
      </c>
      <c r="D296" s="7" t="s">
        <v>132</v>
      </c>
      <c r="E296" s="114">
        <v>62</v>
      </c>
      <c r="G296"/>
      <c r="H296"/>
    </row>
    <row r="297" spans="1:8" ht="25.5">
      <c r="A297" s="7" t="s">
        <v>514</v>
      </c>
      <c r="B297" s="7" t="s">
        <v>517</v>
      </c>
      <c r="C297" s="7" t="s">
        <v>525</v>
      </c>
      <c r="D297" s="7" t="s">
        <v>131</v>
      </c>
      <c r="E297" s="114">
        <v>190</v>
      </c>
      <c r="G297"/>
      <c r="H297"/>
    </row>
    <row r="298" spans="1:8" ht="25.5">
      <c r="A298" s="7" t="s">
        <v>514</v>
      </c>
      <c r="B298" s="7" t="s">
        <v>517</v>
      </c>
      <c r="C298" s="7" t="s">
        <v>528</v>
      </c>
      <c r="D298" s="7" t="s">
        <v>132</v>
      </c>
      <c r="E298" s="114">
        <v>42.67</v>
      </c>
      <c r="G298"/>
      <c r="H298"/>
    </row>
    <row r="299" spans="1:8" ht="25.5">
      <c r="A299" s="7" t="s">
        <v>514</v>
      </c>
      <c r="B299" s="7" t="s">
        <v>517</v>
      </c>
      <c r="C299" s="7" t="s">
        <v>530</v>
      </c>
      <c r="D299" s="7" t="s">
        <v>131</v>
      </c>
      <c r="E299" s="114">
        <v>177.07</v>
      </c>
      <c r="G299"/>
      <c r="H299"/>
    </row>
    <row r="300" spans="1:8" ht="25.5">
      <c r="A300" s="7" t="s">
        <v>514</v>
      </c>
      <c r="B300" s="7" t="s">
        <v>517</v>
      </c>
      <c r="C300" s="7" t="s">
        <v>530</v>
      </c>
      <c r="D300" s="7" t="s">
        <v>133</v>
      </c>
      <c r="E300" s="114">
        <v>112.5</v>
      </c>
      <c r="G300"/>
      <c r="H300"/>
    </row>
    <row r="301" spans="1:8" ht="25.5">
      <c r="A301" s="7" t="s">
        <v>514</v>
      </c>
      <c r="B301" s="7" t="s">
        <v>517</v>
      </c>
      <c r="C301" s="7" t="s">
        <v>530</v>
      </c>
      <c r="D301" s="7" t="s">
        <v>132</v>
      </c>
      <c r="E301" s="114">
        <v>28.13</v>
      </c>
      <c r="G301"/>
      <c r="H301"/>
    </row>
    <row r="302" spans="1:8" ht="25.5">
      <c r="A302" s="7" t="s">
        <v>514</v>
      </c>
      <c r="B302" s="7" t="s">
        <v>134</v>
      </c>
      <c r="C302" s="7" t="s">
        <v>136</v>
      </c>
      <c r="E302" s="114">
        <v>35</v>
      </c>
      <c r="G302"/>
      <c r="H302"/>
    </row>
    <row r="303" spans="1:8" ht="25.5">
      <c r="A303" s="7" t="s">
        <v>514</v>
      </c>
      <c r="B303" s="7" t="s">
        <v>134</v>
      </c>
      <c r="C303" s="7" t="s">
        <v>137</v>
      </c>
      <c r="E303" s="114">
        <v>125</v>
      </c>
      <c r="G303"/>
      <c r="H303"/>
    </row>
    <row r="304" spans="1:8" ht="25.5">
      <c r="A304" s="7" t="s">
        <v>514</v>
      </c>
      <c r="B304" s="7" t="s">
        <v>134</v>
      </c>
      <c r="C304" s="7" t="s">
        <v>138</v>
      </c>
      <c r="E304" s="114">
        <v>100</v>
      </c>
      <c r="G304"/>
      <c r="H304"/>
    </row>
    <row r="305" spans="1:8" ht="25.5">
      <c r="A305" s="7" t="s">
        <v>514</v>
      </c>
      <c r="B305" s="7" t="s">
        <v>134</v>
      </c>
      <c r="C305" s="7" t="s">
        <v>139</v>
      </c>
      <c r="E305" s="114">
        <v>37</v>
      </c>
      <c r="G305"/>
      <c r="H305"/>
    </row>
    <row r="306" spans="1:8" ht="25.5">
      <c r="A306" s="7" t="s">
        <v>514</v>
      </c>
      <c r="B306" s="7" t="s">
        <v>134</v>
      </c>
      <c r="C306" s="7" t="s">
        <v>140</v>
      </c>
      <c r="E306" s="114">
        <v>100</v>
      </c>
      <c r="G306"/>
      <c r="H306"/>
    </row>
    <row r="307" spans="1:8" ht="25.5">
      <c r="A307" s="7" t="s">
        <v>514</v>
      </c>
      <c r="B307" s="7" t="s">
        <v>135</v>
      </c>
      <c r="C307" s="7" t="s">
        <v>141</v>
      </c>
      <c r="D307" s="7" t="s">
        <v>142</v>
      </c>
      <c r="E307" s="114">
        <v>4</v>
      </c>
      <c r="G307"/>
      <c r="H307"/>
    </row>
    <row r="308" spans="1:8" ht="25.5">
      <c r="A308" s="7" t="s">
        <v>514</v>
      </c>
      <c r="B308" s="7" t="s">
        <v>135</v>
      </c>
      <c r="C308" s="7" t="s">
        <v>141</v>
      </c>
      <c r="E308" s="114">
        <v>4</v>
      </c>
      <c r="G308"/>
      <c r="H3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I29"/>
  <sheetViews>
    <sheetView zoomScalePageLayoutView="0" workbookViewId="0" topLeftCell="A1">
      <selection activeCell="A7" sqref="A7"/>
    </sheetView>
  </sheetViews>
  <sheetFormatPr defaultColWidth="9.140625" defaultRowHeight="12.75"/>
  <cols>
    <col min="4" max="4" width="17.8515625" style="0" bestFit="1" customWidth="1"/>
    <col min="5" max="5" width="14.57421875" style="0" bestFit="1" customWidth="1"/>
  </cols>
  <sheetData>
    <row r="1" ht="12.75">
      <c r="B1" t="s">
        <v>743</v>
      </c>
    </row>
    <row r="2" spans="2:3" ht="12.75">
      <c r="B2" s="160"/>
      <c r="C2" s="160"/>
    </row>
    <row r="3" spans="2:4" ht="12.75">
      <c r="B3" s="160" t="s">
        <v>793</v>
      </c>
      <c r="C3" s="160"/>
      <c r="D3" s="185" t="s">
        <v>768</v>
      </c>
    </row>
    <row r="4" spans="1:4" ht="12.75">
      <c r="A4">
        <v>2006</v>
      </c>
      <c r="B4" s="196">
        <v>216.48</v>
      </c>
      <c r="C4" s="160"/>
      <c r="D4" s="185"/>
    </row>
    <row r="5" spans="1:7" ht="12.75">
      <c r="A5">
        <v>2007</v>
      </c>
      <c r="B5" s="198">
        <v>221.72</v>
      </c>
      <c r="C5" s="160"/>
      <c r="D5" s="176">
        <f>(B5-B4)/B4</f>
        <v>0.02420546932742059</v>
      </c>
      <c r="G5" s="196"/>
    </row>
    <row r="6" spans="1:7" ht="12.75">
      <c r="A6">
        <v>2008</v>
      </c>
      <c r="B6" s="198">
        <v>229.83</v>
      </c>
      <c r="C6" s="160"/>
      <c r="D6" s="176">
        <f>(B6-B5)/B5</f>
        <v>0.03657766552408449</v>
      </c>
      <c r="G6" s="196"/>
    </row>
    <row r="7" spans="1:7" ht="12.75">
      <c r="A7">
        <v>2009</v>
      </c>
      <c r="B7" s="198">
        <v>226.15</v>
      </c>
      <c r="C7" s="160"/>
      <c r="D7" s="176">
        <f aca="true" t="shared" si="0" ref="D7:D16">(B7-B6)/B6</f>
        <v>-0.01601183483444288</v>
      </c>
      <c r="G7" s="196"/>
    </row>
    <row r="8" spans="1:7" ht="12.75">
      <c r="A8">
        <v>2010</v>
      </c>
      <c r="B8" s="198">
        <v>231.98</v>
      </c>
      <c r="C8" s="160"/>
      <c r="D8" s="176">
        <f t="shared" si="0"/>
        <v>0.025779349988945318</v>
      </c>
      <c r="G8" s="196"/>
    </row>
    <row r="9" spans="1:7" ht="12.75">
      <c r="A9">
        <v>2011</v>
      </c>
      <c r="B9" s="198">
        <v>239.31</v>
      </c>
      <c r="C9" s="160"/>
      <c r="D9" s="176">
        <f t="shared" si="0"/>
        <v>0.031597551513061525</v>
      </c>
      <c r="G9" s="196"/>
    </row>
    <row r="10" spans="1:9" ht="12.75">
      <c r="A10">
        <v>2012</v>
      </c>
      <c r="B10" s="198">
        <v>244.64</v>
      </c>
      <c r="C10" s="160"/>
      <c r="D10" s="176">
        <f t="shared" si="0"/>
        <v>0.022272366386695015</v>
      </c>
      <c r="G10" s="197"/>
      <c r="H10" s="197"/>
      <c r="I10" s="197"/>
    </row>
    <row r="11" spans="1:9" ht="12.75">
      <c r="A11">
        <v>2013</v>
      </c>
      <c r="B11" s="198">
        <v>250.12</v>
      </c>
      <c r="C11" s="160"/>
      <c r="D11" s="176">
        <f t="shared" si="0"/>
        <v>0.02240026160889478</v>
      </c>
      <c r="G11" s="198"/>
      <c r="H11" s="198"/>
      <c r="I11" s="198"/>
    </row>
    <row r="12" spans="1:9" ht="12.75">
      <c r="A12">
        <v>2014</v>
      </c>
      <c r="B12" s="198">
        <v>255.18</v>
      </c>
      <c r="C12" s="160"/>
      <c r="D12" s="176">
        <f t="shared" si="0"/>
        <v>0.0202302894610587</v>
      </c>
      <c r="G12" s="198"/>
      <c r="H12" s="198"/>
      <c r="I12" s="198"/>
    </row>
    <row r="13" spans="1:9" ht="12.75">
      <c r="A13">
        <v>2015</v>
      </c>
      <c r="B13" s="198">
        <v>259.58</v>
      </c>
      <c r="C13" s="160"/>
      <c r="D13" s="176">
        <f t="shared" si="0"/>
        <v>0.017242730621521974</v>
      </c>
      <c r="G13" s="198"/>
      <c r="H13" s="198"/>
      <c r="I13" s="198"/>
    </row>
    <row r="14" spans="1:9" ht="12.75">
      <c r="A14">
        <v>2016</v>
      </c>
      <c r="B14" s="198">
        <v>264.62</v>
      </c>
      <c r="C14" s="160"/>
      <c r="D14" s="176">
        <f t="shared" si="0"/>
        <v>0.01941597965944996</v>
      </c>
      <c r="G14" s="198"/>
      <c r="H14" s="198"/>
      <c r="I14" s="198"/>
    </row>
    <row r="15" spans="1:9" ht="12.75">
      <c r="A15">
        <v>2017</v>
      </c>
      <c r="B15" s="198">
        <v>270.08</v>
      </c>
      <c r="C15" s="160"/>
      <c r="D15" s="176">
        <f t="shared" si="0"/>
        <v>0.020633361046028188</v>
      </c>
      <c r="G15" s="198"/>
      <c r="H15" s="198"/>
      <c r="I15" s="198"/>
    </row>
    <row r="16" spans="1:9" ht="12.75">
      <c r="A16">
        <v>2018</v>
      </c>
      <c r="B16" s="198">
        <v>275.8</v>
      </c>
      <c r="C16" s="160"/>
      <c r="D16" s="176">
        <f t="shared" si="0"/>
        <v>0.021178909952606736</v>
      </c>
      <c r="G16" s="198"/>
      <c r="H16" s="198"/>
      <c r="I16" s="198"/>
    </row>
    <row r="17" spans="1:9" ht="12.75">
      <c r="A17">
        <v>2019</v>
      </c>
      <c r="B17" s="160">
        <f>B16*(1+$E$18)</f>
        <v>281.4429162708682</v>
      </c>
      <c r="C17" s="160"/>
      <c r="D17" s="176"/>
      <c r="E17" t="s">
        <v>769</v>
      </c>
      <c r="G17" s="198"/>
      <c r="H17" s="198"/>
      <c r="I17" s="198"/>
    </row>
    <row r="18" spans="1:9" ht="12.75">
      <c r="A18">
        <v>2020</v>
      </c>
      <c r="B18" s="160">
        <f>B17*(1+$E$18)</f>
        <v>287.20128759626874</v>
      </c>
      <c r="C18" s="160"/>
      <c r="D18" s="176"/>
      <c r="E18" s="186">
        <f>AVERAGE(D5:D16)</f>
        <v>0.020460175021277036</v>
      </c>
      <c r="G18" s="198"/>
      <c r="H18" s="198"/>
      <c r="I18" s="198"/>
    </row>
    <row r="19" spans="1:9" ht="12.75">
      <c r="A19">
        <v>2021</v>
      </c>
      <c r="B19" s="160">
        <f aca="true" t="shared" si="1" ref="B19:B26">B18*(1+$E$18)</f>
        <v>293.0774762068245</v>
      </c>
      <c r="C19" s="160"/>
      <c r="D19" s="176"/>
      <c r="G19" s="198"/>
      <c r="H19" s="198"/>
      <c r="I19" s="198"/>
    </row>
    <row r="20" spans="1:9" ht="12.75">
      <c r="A20">
        <v>2022</v>
      </c>
      <c r="B20" s="160">
        <f t="shared" si="1"/>
        <v>299.0738926648103</v>
      </c>
      <c r="C20" s="160"/>
      <c r="D20" s="176"/>
      <c r="G20" s="198"/>
      <c r="H20" s="198"/>
      <c r="I20" s="198"/>
    </row>
    <row r="21" spans="1:9" ht="12.75">
      <c r="A21">
        <v>2023</v>
      </c>
      <c r="B21" s="160">
        <f t="shared" si="1"/>
        <v>305.1929968530269</v>
      </c>
      <c r="C21" s="160"/>
      <c r="D21" s="176"/>
      <c r="G21" s="198"/>
      <c r="H21" s="198"/>
      <c r="I21" s="198"/>
    </row>
    <row r="22" spans="1:9" ht="12.75">
      <c r="A22">
        <v>2024</v>
      </c>
      <c r="B22" s="160">
        <f t="shared" si="1"/>
        <v>311.43729898390785</v>
      </c>
      <c r="C22" s="160"/>
      <c r="D22" s="176"/>
      <c r="G22" s="198"/>
      <c r="H22" s="198"/>
      <c r="I22" s="198"/>
    </row>
    <row r="23" spans="1:9" ht="12.75">
      <c r="A23">
        <v>2025</v>
      </c>
      <c r="B23" s="160">
        <f t="shared" si="1"/>
        <v>317.80936062927236</v>
      </c>
      <c r="C23" s="160"/>
      <c r="D23" s="176"/>
      <c r="G23" s="198"/>
      <c r="H23" s="198"/>
      <c r="I23" s="198"/>
    </row>
    <row r="24" spans="1:9" ht="12.75">
      <c r="A24">
        <v>2026</v>
      </c>
      <c r="B24" s="160">
        <f t="shared" si="1"/>
        <v>324.3117957711474</v>
      </c>
      <c r="C24" s="160"/>
      <c r="D24" s="176"/>
      <c r="G24" s="198"/>
      <c r="H24" s="198"/>
      <c r="I24" s="198"/>
    </row>
    <row r="25" spans="1:9" ht="12.75">
      <c r="A25">
        <v>2027</v>
      </c>
      <c r="B25" s="160">
        <f t="shared" si="1"/>
        <v>330.94727187408967</v>
      </c>
      <c r="C25" s="160"/>
      <c r="D25" s="176"/>
      <c r="G25" s="198"/>
      <c r="H25" s="198"/>
      <c r="I25" s="198"/>
    </row>
    <row r="26" spans="1:9" ht="12.75">
      <c r="A26">
        <v>2028</v>
      </c>
      <c r="B26" s="160">
        <f t="shared" si="1"/>
        <v>337.7185109794477</v>
      </c>
      <c r="G26" s="198"/>
      <c r="H26" s="198"/>
      <c r="I26" s="198"/>
    </row>
    <row r="27" spans="7:9" ht="12.75">
      <c r="G27" s="198"/>
      <c r="H27" s="198"/>
      <c r="I27" s="198"/>
    </row>
    <row r="28" spans="7:9" ht="12.75">
      <c r="G28" s="198"/>
      <c r="H28" s="198"/>
      <c r="I28" s="198"/>
    </row>
    <row r="29" spans="1:9" ht="12.75">
      <c r="A29" t="s">
        <v>794</v>
      </c>
      <c r="G29" s="198"/>
      <c r="H29" s="198"/>
      <c r="I29" s="19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E35"/>
  <sheetViews>
    <sheetView workbookViewId="0" topLeftCell="A1">
      <selection activeCell="A4" sqref="A4"/>
    </sheetView>
  </sheetViews>
  <sheetFormatPr defaultColWidth="9.140625" defaultRowHeight="12.75"/>
  <cols>
    <col min="1" max="1" width="18.28125" style="212" customWidth="1"/>
    <col min="2" max="2" width="11.421875" style="212" customWidth="1"/>
    <col min="3" max="3" width="13.140625" style="212" customWidth="1"/>
    <col min="4" max="4" width="9.8515625" style="212" customWidth="1"/>
    <col min="5" max="5" width="9.140625" style="212" customWidth="1"/>
    <col min="6" max="6" width="10.8515625" style="212" customWidth="1"/>
    <col min="7" max="16384" width="9.140625" style="212" customWidth="1"/>
  </cols>
  <sheetData>
    <row r="1" ht="12.75">
      <c r="A1" s="206" t="s">
        <v>808</v>
      </c>
    </row>
    <row r="4" spans="2:57" s="210" customFormat="1" ht="12.75"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AY4" s="208"/>
      <c r="AZ4" s="208"/>
      <c r="BA4" s="208"/>
      <c r="BB4" s="208"/>
      <c r="BC4" s="208"/>
      <c r="BD4" s="208"/>
      <c r="BE4" s="208"/>
    </row>
    <row r="5" spans="2:6" s="215" customFormat="1" ht="12.75">
      <c r="B5" s="216" t="s">
        <v>152</v>
      </c>
      <c r="C5" s="216"/>
      <c r="D5" s="216" t="s">
        <v>157</v>
      </c>
      <c r="E5" s="216"/>
      <c r="F5" s="216" t="s">
        <v>151</v>
      </c>
    </row>
    <row r="6" spans="2:6" s="215" customFormat="1" ht="12.75">
      <c r="B6" s="217" t="s">
        <v>798</v>
      </c>
      <c r="C6" s="217"/>
      <c r="D6" s="217" t="s">
        <v>798</v>
      </c>
      <c r="E6" s="217"/>
      <c r="F6" s="217" t="s">
        <v>798</v>
      </c>
    </row>
    <row r="7" spans="1:6" ht="12.75">
      <c r="A7" s="206">
        <v>2009</v>
      </c>
      <c r="B7" s="200">
        <v>83.70909390662095</v>
      </c>
      <c r="C7" s="214"/>
      <c r="D7" s="230">
        <v>2906.6280588195395</v>
      </c>
      <c r="E7" s="222"/>
      <c r="F7" s="234">
        <v>3.32</v>
      </c>
    </row>
    <row r="8" spans="1:8" ht="12.75">
      <c r="A8" s="206">
        <v>2010</v>
      </c>
      <c r="B8" s="201">
        <v>103.69966887417218</v>
      </c>
      <c r="C8" s="218"/>
      <c r="D8" s="230">
        <v>2027.8844456352197</v>
      </c>
      <c r="E8" s="231">
        <f>(D8-D7)/D7</f>
        <v>-0.30232406603175827</v>
      </c>
      <c r="F8" s="234">
        <f>F7*(1+G8)</f>
        <v>3.313333333333333</v>
      </c>
      <c r="G8" s="235">
        <f>G10/3</f>
        <v>-0.002008032128514058</v>
      </c>
      <c r="H8" s="232"/>
    </row>
    <row r="9" spans="1:8" ht="12.75">
      <c r="A9" s="206">
        <v>2011</v>
      </c>
      <c r="B9" s="201">
        <v>152.7688394593786</v>
      </c>
      <c r="C9" s="218"/>
      <c r="D9" s="230">
        <v>1453.435901896015</v>
      </c>
      <c r="E9" s="231">
        <f>(D9-D8)/D8</f>
        <v>-0.2832747916064138</v>
      </c>
      <c r="F9" s="234">
        <f>F8*(1+G9)</f>
        <v>3.306680053547523</v>
      </c>
      <c r="G9" s="235">
        <f>G10/3</f>
        <v>-0.002008032128514058</v>
      </c>
      <c r="H9" s="232"/>
    </row>
    <row r="10" spans="1:8" ht="12.75">
      <c r="A10" s="206">
        <v>2012</v>
      </c>
      <c r="B10" s="201">
        <v>349.3062327813775</v>
      </c>
      <c r="C10" s="218"/>
      <c r="D10" s="230">
        <v>1105.7268409076883</v>
      </c>
      <c r="E10" s="231">
        <f>(D10-D9)/D9</f>
        <v>-0.23923247013145768</v>
      </c>
      <c r="F10" s="234">
        <v>3.3</v>
      </c>
      <c r="G10" s="220">
        <f>(F10-F7)/F7</f>
        <v>-0.006024096385542174</v>
      </c>
      <c r="H10" s="232"/>
    </row>
    <row r="11" spans="1:6" ht="12.75">
      <c r="A11" s="206">
        <v>2013</v>
      </c>
      <c r="B11" s="201">
        <v>317.8839412416852</v>
      </c>
      <c r="C11" s="218"/>
      <c r="D11" s="230">
        <v>767.9127032488227</v>
      </c>
      <c r="E11" s="231">
        <f>(D11-D10)/D10</f>
        <v>-0.3055131929162132</v>
      </c>
      <c r="F11" s="221">
        <f>F10*(1+$G$9)</f>
        <v>3.293373493975903</v>
      </c>
    </row>
    <row r="12" spans="1:6" ht="12.75">
      <c r="A12" s="206">
        <v>2014</v>
      </c>
      <c r="B12" s="201">
        <v>222.52865325635938</v>
      </c>
      <c r="C12" s="218"/>
      <c r="D12" s="230">
        <v>391.7854946571954</v>
      </c>
      <c r="E12" s="231">
        <f>(D12-D11)/D11</f>
        <v>-0.48980464446067745</v>
      </c>
      <c r="F12" s="221">
        <f aca="true" t="shared" si="0" ref="F12:F27">F11*(1+$G$9)</f>
        <v>3.2867602941888028</v>
      </c>
    </row>
    <row r="13" spans="1:6" ht="12.75">
      <c r="A13" s="206">
        <v>2015</v>
      </c>
      <c r="B13" s="201">
        <v>153.76243832397856</v>
      </c>
      <c r="C13" s="218"/>
      <c r="D13" s="233">
        <v>264.83530624012104</v>
      </c>
      <c r="E13" s="223">
        <f>AVERAGE(E8:E12)</f>
        <v>-0.32402983302930405</v>
      </c>
      <c r="F13" s="221">
        <f t="shared" si="0"/>
        <v>3.2801603739193474</v>
      </c>
    </row>
    <row r="14" spans="1:6" ht="12.75">
      <c r="A14" s="206">
        <v>2016</v>
      </c>
      <c r="B14" s="202">
        <v>147.36507802113718</v>
      </c>
      <c r="C14" s="218"/>
      <c r="D14" s="233">
        <f aca="true" t="shared" si="1" ref="D14:D27">D13*(1+$E$13)</f>
        <v>179.02076617887</v>
      </c>
      <c r="E14" s="208"/>
      <c r="F14" s="221">
        <f t="shared" si="0"/>
        <v>3.2735737065018387</v>
      </c>
    </row>
    <row r="15" spans="1:6" ht="12.75">
      <c r="A15" s="206">
        <v>2017</v>
      </c>
      <c r="B15" s="202">
        <v>141.23388297484655</v>
      </c>
      <c r="C15" s="218"/>
      <c r="D15" s="233">
        <f t="shared" si="1"/>
        <v>121.01269720515266</v>
      </c>
      <c r="E15" s="208"/>
      <c r="F15" s="221">
        <f t="shared" si="0"/>
        <v>3.267000265324124</v>
      </c>
    </row>
    <row r="16" spans="1:6" ht="12.75">
      <c r="A16" s="206">
        <v>2018</v>
      </c>
      <c r="B16" s="202">
        <v>135.3577792514151</v>
      </c>
      <c r="C16" s="218"/>
      <c r="D16" s="233">
        <f t="shared" si="1"/>
        <v>81.80097313534131</v>
      </c>
      <c r="E16" s="208"/>
      <c r="F16" s="221">
        <f t="shared" si="0"/>
        <v>3.260440023827489</v>
      </c>
    </row>
    <row r="17" spans="1:6" ht="12.75">
      <c r="A17" s="206">
        <v>2019</v>
      </c>
      <c r="B17" s="202">
        <v>129.72615365349606</v>
      </c>
      <c r="C17" s="218"/>
      <c r="D17" s="233">
        <f t="shared" si="1"/>
        <v>55.295017468662074</v>
      </c>
      <c r="E17" s="208"/>
      <c r="F17" s="221">
        <f t="shared" si="0"/>
        <v>3.25389295550655</v>
      </c>
    </row>
    <row r="18" spans="1:6" ht="12.75">
      <c r="A18" s="206">
        <v>2020</v>
      </c>
      <c r="B18" s="202">
        <v>124.32883455092978</v>
      </c>
      <c r="C18" s="218"/>
      <c r="D18" s="233">
        <f t="shared" si="1"/>
        <v>37.37778219093905</v>
      </c>
      <c r="E18" s="208"/>
      <c r="F18" s="221">
        <f t="shared" si="0"/>
        <v>3.247359033909147</v>
      </c>
    </row>
    <row r="19" spans="1:21" ht="12.75">
      <c r="A19" s="206">
        <v>2021</v>
      </c>
      <c r="B19" s="202">
        <v>119.15607350912849</v>
      </c>
      <c r="C19" s="219"/>
      <c r="D19" s="233">
        <f t="shared" si="1"/>
        <v>25.266265668603374</v>
      </c>
      <c r="E19" s="208"/>
      <c r="F19" s="221">
        <f t="shared" si="0"/>
        <v>3.240838232636237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</row>
    <row r="20" spans="1:20" ht="12.75">
      <c r="A20" s="206">
        <v>2022</v>
      </c>
      <c r="B20" s="202">
        <v>114.19852768182047</v>
      </c>
      <c r="C20" s="208"/>
      <c r="D20" s="233">
        <f t="shared" si="1"/>
        <v>17.079241822731785</v>
      </c>
      <c r="E20" s="208"/>
      <c r="F20" s="221">
        <f t="shared" si="0"/>
        <v>3.234330525341787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</row>
    <row r="21" spans="1:20" ht="12.75">
      <c r="A21" s="206">
        <v>2023</v>
      </c>
      <c r="B21" s="202">
        <v>109.44724293635294</v>
      </c>
      <c r="C21" s="208"/>
      <c r="D21" s="233">
        <f t="shared" si="1"/>
        <v>11.545057946644897</v>
      </c>
      <c r="E21" s="208"/>
      <c r="F21" s="221">
        <f t="shared" si="0"/>
        <v>3.2278358857326666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</row>
    <row r="22" spans="1:6" ht="12.75">
      <c r="A22" s="206">
        <v>2024</v>
      </c>
      <c r="B22" s="202">
        <v>104.89363768107472</v>
      </c>
      <c r="C22" s="213"/>
      <c r="D22" s="233">
        <f t="shared" si="1"/>
        <v>7.804114747879911</v>
      </c>
      <c r="F22" s="221">
        <f t="shared" si="0"/>
        <v>3.221354287568545</v>
      </c>
    </row>
    <row r="23" spans="1:6" ht="12.75">
      <c r="A23" s="206">
        <v>2025</v>
      </c>
      <c r="B23" s="202">
        <v>100.52948736558842</v>
      </c>
      <c r="D23" s="233">
        <f t="shared" si="1"/>
        <v>5.275348749182854</v>
      </c>
      <c r="F23" s="221">
        <f t="shared" si="0"/>
        <v>3.2148857046617807</v>
      </c>
    </row>
    <row r="24" spans="1:6" ht="12.75">
      <c r="A24" s="206">
        <v>2026</v>
      </c>
      <c r="B24" s="202">
        <v>96.34690962587709</v>
      </c>
      <c r="D24" s="233">
        <f t="shared" si="1"/>
        <v>3.565978374813785</v>
      </c>
      <c r="F24" s="221">
        <f t="shared" si="0"/>
        <v>3.208430110877319</v>
      </c>
    </row>
    <row r="25" spans="1:6" ht="12.75">
      <c r="A25" s="206">
        <v>2027</v>
      </c>
      <c r="B25" s="202">
        <v>92.33835004747509</v>
      </c>
      <c r="D25" s="233">
        <f t="shared" si="1"/>
        <v>2.410494997436765</v>
      </c>
      <c r="F25" s="221">
        <f t="shared" si="0"/>
        <v>3.2019874801325856</v>
      </c>
    </row>
    <row r="26" spans="1:6" ht="12.75">
      <c r="A26" s="206">
        <v>2028</v>
      </c>
      <c r="B26" s="202">
        <v>88.49656852096903</v>
      </c>
      <c r="D26" s="233">
        <f t="shared" si="1"/>
        <v>1.6294227058993573</v>
      </c>
      <c r="F26" s="221">
        <f t="shared" si="0"/>
        <v>3.1955577863973796</v>
      </c>
    </row>
    <row r="27" spans="1:6" ht="12.75">
      <c r="A27" s="206">
        <v>2029</v>
      </c>
      <c r="B27" s="202">
        <v>84.81462616518472</v>
      </c>
      <c r="D27" s="233">
        <f t="shared" si="1"/>
        <v>1.1014411385726317</v>
      </c>
      <c r="F27" s="221">
        <f t="shared" si="0"/>
        <v>3.1891410036937704</v>
      </c>
    </row>
    <row r="28" spans="1:4" ht="12.75">
      <c r="A28" s="206">
        <v>2030</v>
      </c>
      <c r="B28" s="236">
        <v>81.28587279444119</v>
      </c>
      <c r="D28" s="233">
        <f>D27*(1+$E$13)</f>
        <v>0.7445413503493352</v>
      </c>
    </row>
    <row r="29" spans="2:14" s="237" customFormat="1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2:14" s="228" customFormat="1" ht="12.75"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</row>
    <row r="31" s="228" customFormat="1" ht="12.75"/>
    <row r="33" spans="1:4" s="228" customFormat="1" ht="12.75">
      <c r="A33" s="205" t="s">
        <v>805</v>
      </c>
      <c r="C33" s="203"/>
      <c r="D33" s="204"/>
    </row>
    <row r="34" ht="12.75">
      <c r="A34" s="211" t="s">
        <v>806</v>
      </c>
    </row>
    <row r="35" ht="12.75">
      <c r="A35" s="212" t="s">
        <v>807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cottrela</dc:creator>
  <cp:keywords/>
  <dc:description/>
  <cp:lastModifiedBy>erincoug</cp:lastModifiedBy>
  <cp:lastPrinted>2008-08-27T14:16:58Z</cp:lastPrinted>
  <dcterms:created xsi:type="dcterms:W3CDTF">2006-06-20T18:09:42Z</dcterms:created>
  <dcterms:modified xsi:type="dcterms:W3CDTF">2009-03-31T19:12:45Z</dcterms:modified>
  <cp:category/>
  <cp:version/>
  <cp:contentType/>
  <cp:contentStatus/>
</cp:coreProperties>
</file>